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tor Licitação\Compartilhada 2026\641 Programa Conexões\Ponte da Vila Sul\"/>
    </mc:Choice>
  </mc:AlternateContent>
  <xr:revisionPtr revIDLastSave="0" documentId="8_{607C69AD-6676-497A-A274-5D1989B242B7}" xr6:coauthVersionLast="47" xr6:coauthVersionMax="47" xr10:uidLastSave="{00000000-0000-0000-0000-000000000000}"/>
  <bookViews>
    <workbookView xWindow="-108" yWindow="-108" windowWidth="23256" windowHeight="12456" xr2:uid="{FB0C37A2-92A9-43F1-82ED-EC1CE403E1D3}"/>
  </bookViews>
  <sheets>
    <sheet name="Orçamento" sheetId="1" r:id="rId1"/>
    <sheet name="Cronograma" sheetId="2" r:id="rId2"/>
    <sheet name="BDI" sheetId="5" r:id="rId3"/>
    <sheet name="Composições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H177" i="9"/>
  <c r="F26" i="1"/>
  <c r="F27" i="1"/>
  <c r="F28" i="1"/>
  <c r="H34" i="1"/>
  <c r="I34" i="1"/>
  <c r="H32" i="1"/>
  <c r="F32" i="1"/>
  <c r="I32" i="1"/>
  <c r="H26" i="1"/>
  <c r="H29" i="1"/>
  <c r="H28" i="1"/>
  <c r="I28" i="1"/>
  <c r="C144" i="9"/>
  <c r="H144" i="9"/>
  <c r="C143" i="9"/>
  <c r="F143" i="9"/>
  <c r="F148" i="9"/>
  <c r="H143" i="9"/>
  <c r="I143" i="9"/>
  <c r="H79" i="9"/>
  <c r="F79" i="9"/>
  <c r="I79" i="9"/>
  <c r="H356" i="9"/>
  <c r="E356" i="9"/>
  <c r="F356" i="9"/>
  <c r="H355" i="9"/>
  <c r="E355" i="9"/>
  <c r="F355" i="9"/>
  <c r="H354" i="9"/>
  <c r="E354" i="9"/>
  <c r="F354" i="9"/>
  <c r="I354" i="9"/>
  <c r="H353" i="9"/>
  <c r="E353" i="9"/>
  <c r="F353" i="9"/>
  <c r="H350" i="9"/>
  <c r="H351" i="9"/>
  <c r="F350" i="9"/>
  <c r="I350" i="9"/>
  <c r="H349" i="9"/>
  <c r="F349" i="9"/>
  <c r="H348" i="9"/>
  <c r="F348" i="9"/>
  <c r="I348" i="9"/>
  <c r="H347" i="9"/>
  <c r="I347" i="9"/>
  <c r="F347" i="9"/>
  <c r="H346" i="9"/>
  <c r="F346" i="9"/>
  <c r="F351" i="9"/>
  <c r="H343" i="9"/>
  <c r="F343" i="9"/>
  <c r="I343" i="9"/>
  <c r="H342" i="9"/>
  <c r="F342" i="9"/>
  <c r="I342" i="9"/>
  <c r="H341" i="9"/>
  <c r="E341" i="9"/>
  <c r="F341" i="9"/>
  <c r="I341" i="9"/>
  <c r="F340" i="9"/>
  <c r="I340" i="9"/>
  <c r="F339" i="9"/>
  <c r="H339" i="9"/>
  <c r="H344" i="9"/>
  <c r="I339" i="9"/>
  <c r="F338" i="9"/>
  <c r="F344" i="9"/>
  <c r="I338" i="9"/>
  <c r="I344" i="9"/>
  <c r="H338" i="9"/>
  <c r="F337" i="9"/>
  <c r="H161" i="9"/>
  <c r="F161" i="9"/>
  <c r="I161" i="9"/>
  <c r="H160" i="9"/>
  <c r="E160" i="9"/>
  <c r="F160" i="9"/>
  <c r="I160" i="9"/>
  <c r="H159" i="9"/>
  <c r="E159" i="9"/>
  <c r="F159" i="9"/>
  <c r="I159" i="9"/>
  <c r="H158" i="9"/>
  <c r="E158" i="9"/>
  <c r="F158" i="9"/>
  <c r="I158" i="9"/>
  <c r="H157" i="9"/>
  <c r="F157" i="9"/>
  <c r="I157" i="9"/>
  <c r="I162" i="9"/>
  <c r="H154" i="9"/>
  <c r="F154" i="9"/>
  <c r="I154" i="9"/>
  <c r="H153" i="9"/>
  <c r="F153" i="9"/>
  <c r="I153" i="9"/>
  <c r="H152" i="9"/>
  <c r="F152" i="9"/>
  <c r="I152" i="9"/>
  <c r="F155" i="9"/>
  <c r="H151" i="9"/>
  <c r="H155" i="9"/>
  <c r="F151" i="9"/>
  <c r="H150" i="9"/>
  <c r="F150" i="9"/>
  <c r="H147" i="9"/>
  <c r="F147" i="9"/>
  <c r="I147" i="9"/>
  <c r="H146" i="9"/>
  <c r="F146" i="9"/>
  <c r="I146" i="9"/>
  <c r="H145" i="9"/>
  <c r="E145" i="9"/>
  <c r="F145" i="9"/>
  <c r="I145" i="9"/>
  <c r="F144" i="9"/>
  <c r="I144" i="9"/>
  <c r="F142" i="9"/>
  <c r="I142" i="9"/>
  <c r="H129" i="9"/>
  <c r="F129" i="9"/>
  <c r="I129" i="9"/>
  <c r="F130" i="9"/>
  <c r="H128" i="9"/>
  <c r="E128" i="9"/>
  <c r="F128" i="9"/>
  <c r="I128" i="9"/>
  <c r="H127" i="9"/>
  <c r="E127" i="9"/>
  <c r="F127" i="9"/>
  <c r="I127" i="9"/>
  <c r="H126" i="9"/>
  <c r="E126" i="9"/>
  <c r="F126" i="9"/>
  <c r="H125" i="9"/>
  <c r="F125" i="9"/>
  <c r="I125" i="9"/>
  <c r="H122" i="9"/>
  <c r="F122" i="9"/>
  <c r="I122" i="9"/>
  <c r="H121" i="9"/>
  <c r="F121" i="9"/>
  <c r="F123" i="9"/>
  <c r="H120" i="9"/>
  <c r="F120" i="9"/>
  <c r="I120" i="9"/>
  <c r="I123" i="9"/>
  <c r="H119" i="9"/>
  <c r="F119" i="9"/>
  <c r="H118" i="9"/>
  <c r="H123" i="9"/>
  <c r="I118" i="9"/>
  <c r="F118" i="9"/>
  <c r="H115" i="9"/>
  <c r="F115" i="9"/>
  <c r="F114" i="9"/>
  <c r="H114" i="9"/>
  <c r="I114" i="9"/>
  <c r="F113" i="9"/>
  <c r="H113" i="9"/>
  <c r="I113" i="9"/>
  <c r="F112" i="9"/>
  <c r="I112" i="9"/>
  <c r="I116" i="9"/>
  <c r="H98" i="9"/>
  <c r="I98" i="9"/>
  <c r="F98" i="9"/>
  <c r="H97" i="9"/>
  <c r="E97" i="9"/>
  <c r="F97" i="9"/>
  <c r="I97" i="9"/>
  <c r="H96" i="9"/>
  <c r="E96" i="9"/>
  <c r="F96" i="9"/>
  <c r="I96" i="9"/>
  <c r="H95" i="9"/>
  <c r="E95" i="9"/>
  <c r="F95" i="9"/>
  <c r="I95" i="9"/>
  <c r="H94" i="9"/>
  <c r="I94" i="9"/>
  <c r="F94" i="9"/>
  <c r="H91" i="9"/>
  <c r="F91" i="9"/>
  <c r="F92" i="9"/>
  <c r="H90" i="9"/>
  <c r="I90" i="9"/>
  <c r="F90" i="9"/>
  <c r="H89" i="9"/>
  <c r="F89" i="9"/>
  <c r="I89" i="9"/>
  <c r="H88" i="9"/>
  <c r="F88" i="9"/>
  <c r="I88" i="9"/>
  <c r="H87" i="9"/>
  <c r="H92" i="9"/>
  <c r="F87" i="9"/>
  <c r="H84" i="9"/>
  <c r="F84" i="9"/>
  <c r="H83" i="9"/>
  <c r="F83" i="9"/>
  <c r="I83" i="9"/>
  <c r="H82" i="9"/>
  <c r="E82" i="9"/>
  <c r="F82" i="9"/>
  <c r="I82" i="9"/>
  <c r="F81" i="9"/>
  <c r="I81" i="9"/>
  <c r="F80" i="9"/>
  <c r="I80" i="9"/>
  <c r="H80" i="9"/>
  <c r="H78" i="9"/>
  <c r="F77" i="9"/>
  <c r="I77" i="9"/>
  <c r="H65" i="9"/>
  <c r="F65" i="9"/>
  <c r="I65" i="9"/>
  <c r="H64" i="9"/>
  <c r="E64" i="9"/>
  <c r="F64" i="9"/>
  <c r="I64" i="9"/>
  <c r="H63" i="9"/>
  <c r="E63" i="9"/>
  <c r="F63" i="9"/>
  <c r="I63" i="9"/>
  <c r="H62" i="9"/>
  <c r="E62" i="9"/>
  <c r="F62" i="9"/>
  <c r="I62" i="9"/>
  <c r="H61" i="9"/>
  <c r="H58" i="9"/>
  <c r="F58" i="9"/>
  <c r="H57" i="9"/>
  <c r="F57" i="9"/>
  <c r="H56" i="9"/>
  <c r="H59" i="9"/>
  <c r="I56" i="9"/>
  <c r="F56" i="9"/>
  <c r="H55" i="9"/>
  <c r="F55" i="9"/>
  <c r="I55" i="9"/>
  <c r="H54" i="9"/>
  <c r="F54" i="9"/>
  <c r="F59" i="9"/>
  <c r="H51" i="9"/>
  <c r="I51" i="9"/>
  <c r="F51" i="9"/>
  <c r="H50" i="9"/>
  <c r="F50" i="9"/>
  <c r="I50" i="9"/>
  <c r="H48" i="9"/>
  <c r="I48" i="9"/>
  <c r="I52" i="9"/>
  <c r="F47" i="9"/>
  <c r="H219" i="9"/>
  <c r="H217" i="9"/>
  <c r="I233" i="9"/>
  <c r="E233" i="9"/>
  <c r="H232" i="9"/>
  <c r="E232" i="9"/>
  <c r="F232" i="9"/>
  <c r="I232" i="9"/>
  <c r="H231" i="9"/>
  <c r="E231" i="9"/>
  <c r="F231" i="9"/>
  <c r="H230" i="9"/>
  <c r="E230" i="9"/>
  <c r="F230" i="9"/>
  <c r="I230" i="9"/>
  <c r="H229" i="9"/>
  <c r="E229" i="9"/>
  <c r="F229" i="9"/>
  <c r="F234" i="9"/>
  <c r="I229" i="9"/>
  <c r="I234" i="9"/>
  <c r="G226" i="9"/>
  <c r="H226" i="9"/>
  <c r="F226" i="9"/>
  <c r="I226" i="9"/>
  <c r="H225" i="9"/>
  <c r="F225" i="9"/>
  <c r="I225" i="9"/>
  <c r="H224" i="9"/>
  <c r="I224" i="9"/>
  <c r="F224" i="9"/>
  <c r="H223" i="9"/>
  <c r="F223" i="9"/>
  <c r="I223" i="9"/>
  <c r="H222" i="9"/>
  <c r="F222" i="9"/>
  <c r="I222" i="9"/>
  <c r="F219" i="9"/>
  <c r="I219" i="9"/>
  <c r="F218" i="9"/>
  <c r="H218" i="9"/>
  <c r="F217" i="9"/>
  <c r="I217" i="9"/>
  <c r="H215" i="9"/>
  <c r="H220" i="9"/>
  <c r="F215" i="9"/>
  <c r="I215" i="9"/>
  <c r="F214" i="9"/>
  <c r="H12" i="9"/>
  <c r="F12" i="9"/>
  <c r="H11" i="9"/>
  <c r="F11" i="9"/>
  <c r="I11" i="9"/>
  <c r="H10" i="9"/>
  <c r="F10" i="9"/>
  <c r="H9" i="9"/>
  <c r="E9" i="9"/>
  <c r="F9" i="9"/>
  <c r="I9" i="9"/>
  <c r="H8" i="9"/>
  <c r="F8" i="9"/>
  <c r="H7" i="9"/>
  <c r="F7" i="9"/>
  <c r="I7" i="9"/>
  <c r="H6" i="9"/>
  <c r="F6" i="9"/>
  <c r="A12" i="5"/>
  <c r="A11" i="5"/>
  <c r="A10" i="5"/>
  <c r="A9" i="5"/>
  <c r="H176" i="9"/>
  <c r="H175" i="9"/>
  <c r="I175" i="9"/>
  <c r="H174" i="9"/>
  <c r="I174" i="9"/>
  <c r="H325" i="9"/>
  <c r="E325" i="9"/>
  <c r="F325" i="9"/>
  <c r="I325" i="9"/>
  <c r="H324" i="9"/>
  <c r="E324" i="9"/>
  <c r="F324" i="9"/>
  <c r="I324" i="9"/>
  <c r="H323" i="9"/>
  <c r="E323" i="9"/>
  <c r="F323" i="9"/>
  <c r="I323" i="9"/>
  <c r="H322" i="9"/>
  <c r="I322" i="9"/>
  <c r="E322" i="9"/>
  <c r="F322" i="9"/>
  <c r="H321" i="9"/>
  <c r="E321" i="9"/>
  <c r="F321" i="9"/>
  <c r="F326" i="9"/>
  <c r="I321" i="9"/>
  <c r="I326" i="9"/>
  <c r="H318" i="9"/>
  <c r="I318" i="9"/>
  <c r="F318" i="9"/>
  <c r="H317" i="9"/>
  <c r="F317" i="9"/>
  <c r="I317" i="9"/>
  <c r="H316" i="9"/>
  <c r="I316" i="9"/>
  <c r="F316" i="9"/>
  <c r="H315" i="9"/>
  <c r="F315" i="9"/>
  <c r="F319" i="9"/>
  <c r="H314" i="9"/>
  <c r="H319" i="9"/>
  <c r="I314" i="9"/>
  <c r="F314" i="9"/>
  <c r="F311" i="9"/>
  <c r="I311" i="9"/>
  <c r="F310" i="9"/>
  <c r="I310" i="9"/>
  <c r="F309" i="9"/>
  <c r="I309" i="9"/>
  <c r="F308" i="9"/>
  <c r="I308" i="9"/>
  <c r="F307" i="9"/>
  <c r="I307" i="9"/>
  <c r="C306" i="9"/>
  <c r="F306" i="9"/>
  <c r="F305" i="9"/>
  <c r="I305" i="9"/>
  <c r="E191" i="9"/>
  <c r="F191" i="9"/>
  <c r="F195" i="9"/>
  <c r="E192" i="9"/>
  <c r="F192" i="9"/>
  <c r="I192" i="9"/>
  <c r="F193" i="9"/>
  <c r="I193" i="9"/>
  <c r="F194" i="9"/>
  <c r="F190" i="9"/>
  <c r="I190" i="9"/>
  <c r="H192" i="9"/>
  <c r="H193" i="9"/>
  <c r="H194" i="9"/>
  <c r="I194" i="9"/>
  <c r="H27" i="1"/>
  <c r="I27" i="1"/>
  <c r="F16" i="1"/>
  <c r="F18" i="1"/>
  <c r="H16" i="1"/>
  <c r="H18" i="1"/>
  <c r="H34" i="9"/>
  <c r="F34" i="9"/>
  <c r="I34" i="9"/>
  <c r="H33" i="9"/>
  <c r="E33" i="9"/>
  <c r="F33" i="9"/>
  <c r="F35" i="9"/>
  <c r="I33" i="9"/>
  <c r="H32" i="9"/>
  <c r="F32" i="9"/>
  <c r="I32" i="9"/>
  <c r="H29" i="9"/>
  <c r="F29" i="9"/>
  <c r="F30" i="9"/>
  <c r="H28" i="9"/>
  <c r="H30" i="9"/>
  <c r="F28" i="9"/>
  <c r="H25" i="9"/>
  <c r="F25" i="9"/>
  <c r="H24" i="9"/>
  <c r="I24" i="9"/>
  <c r="F24" i="9"/>
  <c r="F23" i="9"/>
  <c r="F26" i="9"/>
  <c r="H294" i="9"/>
  <c r="I292" i="9"/>
  <c r="I293" i="9"/>
  <c r="I296" i="9"/>
  <c r="F292" i="9"/>
  <c r="I291" i="9"/>
  <c r="F291" i="9"/>
  <c r="I290" i="9"/>
  <c r="F290" i="9"/>
  <c r="H270" i="9"/>
  <c r="F270" i="9"/>
  <c r="I270" i="9"/>
  <c r="H269" i="9"/>
  <c r="F269" i="9"/>
  <c r="I269" i="9"/>
  <c r="H268" i="9"/>
  <c r="F268" i="9"/>
  <c r="I268" i="9"/>
  <c r="I271" i="9"/>
  <c r="I272" i="9"/>
  <c r="I280" i="9"/>
  <c r="H253" i="9"/>
  <c r="F253" i="9"/>
  <c r="I253" i="9"/>
  <c r="H252" i="9"/>
  <c r="F252" i="9"/>
  <c r="I252" i="9"/>
  <c r="H251" i="9"/>
  <c r="F251" i="9"/>
  <c r="I251" i="9"/>
  <c r="I254" i="9"/>
  <c r="H248" i="9"/>
  <c r="E248" i="9"/>
  <c r="F248" i="9"/>
  <c r="I248" i="9"/>
  <c r="H247" i="9"/>
  <c r="F247" i="9"/>
  <c r="H246" i="9"/>
  <c r="F246" i="9"/>
  <c r="I246" i="9"/>
  <c r="F245" i="9"/>
  <c r="F249" i="9"/>
  <c r="I245" i="9"/>
  <c r="H191" i="9"/>
  <c r="I191" i="9"/>
  <c r="H190" i="9"/>
  <c r="H187" i="9"/>
  <c r="F187" i="9"/>
  <c r="I187" i="9"/>
  <c r="H186" i="9"/>
  <c r="F186" i="9"/>
  <c r="I186" i="9"/>
  <c r="H185" i="9"/>
  <c r="F185" i="9"/>
  <c r="I185" i="9"/>
  <c r="H184" i="9"/>
  <c r="F184" i="9"/>
  <c r="I184" i="9"/>
  <c r="H183" i="9"/>
  <c r="F183" i="9"/>
  <c r="I183" i="9"/>
  <c r="F188" i="9"/>
  <c r="H180" i="9"/>
  <c r="F180" i="9"/>
  <c r="I180" i="9"/>
  <c r="H179" i="9"/>
  <c r="F179" i="9"/>
  <c r="I179" i="9"/>
  <c r="F178" i="9"/>
  <c r="E177" i="9"/>
  <c r="F176" i="9"/>
  <c r="I176" i="9"/>
  <c r="F175" i="9"/>
  <c r="F174" i="9"/>
  <c r="F173" i="9"/>
  <c r="F181" i="9"/>
  <c r="I173" i="9"/>
  <c r="F21" i="1"/>
  <c r="H21" i="1"/>
  <c r="F31" i="1"/>
  <c r="F20" i="1"/>
  <c r="H20" i="1"/>
  <c r="H24" i="1"/>
  <c r="I20" i="1"/>
  <c r="H36" i="1"/>
  <c r="F36" i="1"/>
  <c r="I36" i="1"/>
  <c r="F13" i="1"/>
  <c r="H17" i="1"/>
  <c r="B12" i="2"/>
  <c r="B11" i="2"/>
  <c r="B10" i="2"/>
  <c r="B9" i="2"/>
  <c r="A4" i="2"/>
  <c r="A4" i="5"/>
  <c r="F23" i="1"/>
  <c r="H23" i="1"/>
  <c r="I23" i="1"/>
  <c r="H22" i="1"/>
  <c r="F22" i="1"/>
  <c r="I22" i="1"/>
  <c r="A3" i="2"/>
  <c r="A2" i="2"/>
  <c r="A1" i="2"/>
  <c r="A3" i="5"/>
  <c r="A2" i="5"/>
  <c r="A1" i="5"/>
  <c r="H13" i="1"/>
  <c r="H35" i="1"/>
  <c r="H37" i="1"/>
  <c r="F37" i="1"/>
  <c r="F17" i="1"/>
  <c r="I17" i="1"/>
  <c r="H33" i="1"/>
  <c r="F33" i="1"/>
  <c r="I33" i="1"/>
  <c r="H31" i="1"/>
  <c r="H12" i="1"/>
  <c r="F12" i="1"/>
  <c r="H11" i="1"/>
  <c r="F11" i="1"/>
  <c r="I11" i="1"/>
  <c r="H10" i="1"/>
  <c r="F10" i="1"/>
  <c r="F34" i="1"/>
  <c r="H340" i="9"/>
  <c r="H178" i="9"/>
  <c r="I178" i="9"/>
  <c r="F48" i="9"/>
  <c r="F52" i="9"/>
  <c r="F49" i="9"/>
  <c r="I49" i="9"/>
  <c r="F216" i="9"/>
  <c r="F220" i="9"/>
  <c r="H216" i="9"/>
  <c r="F78" i="9"/>
  <c r="I78" i="9"/>
  <c r="H81" i="9"/>
  <c r="H49" i="9"/>
  <c r="I84" i="9"/>
  <c r="I12" i="9"/>
  <c r="I218" i="9"/>
  <c r="I115" i="9"/>
  <c r="I54" i="9"/>
  <c r="I59" i="9"/>
  <c r="I126" i="9"/>
  <c r="I356" i="9"/>
  <c r="I231" i="9"/>
  <c r="I57" i="9"/>
  <c r="I58" i="9"/>
  <c r="I21" i="1"/>
  <c r="F177" i="9"/>
  <c r="I177" i="9"/>
  <c r="I353" i="9"/>
  <c r="I121" i="9"/>
  <c r="I150" i="9"/>
  <c r="I346" i="9"/>
  <c r="I349" i="9"/>
  <c r="I61" i="9"/>
  <c r="I247" i="9"/>
  <c r="I23" i="9"/>
  <c r="F254" i="9"/>
  <c r="I10" i="1"/>
  <c r="H181" i="9"/>
  <c r="F29" i="1"/>
  <c r="I12" i="1"/>
  <c r="H38" i="1"/>
  <c r="H39" i="1"/>
  <c r="I16" i="1"/>
  <c r="I18" i="1"/>
  <c r="K9" i="2"/>
  <c r="F14" i="1"/>
  <c r="I13" i="1"/>
  <c r="I31" i="1"/>
  <c r="G9" i="2"/>
  <c r="C9" i="2"/>
  <c r="I9" i="2"/>
  <c r="E9" i="2"/>
  <c r="I14" i="1"/>
  <c r="K8" i="2"/>
  <c r="I8" i="2"/>
  <c r="I26" i="1"/>
  <c r="H14" i="1"/>
  <c r="I35" i="1"/>
  <c r="I29" i="1"/>
  <c r="K11" i="2"/>
  <c r="I11" i="2"/>
  <c r="I37" i="1"/>
  <c r="F38" i="1"/>
  <c r="G11" i="2"/>
  <c r="F24" i="1"/>
  <c r="I24" i="1"/>
  <c r="K10" i="2"/>
  <c r="I10" i="2"/>
  <c r="C10" i="2"/>
  <c r="I337" i="9"/>
  <c r="H227" i="9"/>
  <c r="I214" i="9"/>
  <c r="H188" i="9"/>
  <c r="I119" i="9"/>
  <c r="F116" i="9"/>
  <c r="I25" i="9"/>
  <c r="I47" i="9"/>
  <c r="I29" i="9"/>
  <c r="I8" i="9"/>
  <c r="I38" i="1"/>
  <c r="K12" i="2"/>
  <c r="E12" i="2"/>
  <c r="C11" i="2"/>
  <c r="E11" i="2"/>
  <c r="C8" i="2"/>
  <c r="G10" i="2"/>
  <c r="G8" i="2"/>
  <c r="E8" i="2"/>
  <c r="F39" i="1"/>
  <c r="E10" i="2"/>
  <c r="K13" i="2"/>
  <c r="I39" i="1"/>
  <c r="K14" i="2"/>
  <c r="L11" i="2"/>
  <c r="I12" i="2"/>
  <c r="I13" i="2"/>
  <c r="G12" i="2"/>
  <c r="G13" i="2"/>
  <c r="H13" i="2"/>
  <c r="C12" i="2"/>
  <c r="C13" i="2"/>
  <c r="C14" i="2"/>
  <c r="E13" i="2"/>
  <c r="F13" i="2"/>
  <c r="E14" i="2"/>
  <c r="J13" i="2"/>
  <c r="L9" i="2"/>
  <c r="L8" i="2"/>
  <c r="L14" i="2"/>
  <c r="D13" i="2"/>
  <c r="D14" i="2"/>
  <c r="G14" i="2"/>
  <c r="I14" i="2"/>
  <c r="L10" i="2"/>
  <c r="L12" i="2"/>
  <c r="F14" i="2"/>
  <c r="H14" i="2"/>
  <c r="J14" i="2"/>
  <c r="L13" i="2"/>
  <c r="I306" i="9"/>
  <c r="F312" i="9"/>
  <c r="I26" i="9"/>
  <c r="I351" i="9"/>
  <c r="I195" i="9"/>
  <c r="I249" i="9"/>
  <c r="I255" i="9"/>
  <c r="I279" i="9"/>
  <c r="I281" i="9"/>
  <c r="I283" i="9"/>
  <c r="I227" i="9"/>
  <c r="I148" i="9"/>
  <c r="I130" i="9"/>
  <c r="I66" i="9"/>
  <c r="I85" i="9"/>
  <c r="I131" i="9"/>
  <c r="I355" i="9"/>
  <c r="I357" i="9"/>
  <c r="F357" i="9"/>
  <c r="I35" i="9"/>
  <c r="F99" i="9"/>
  <c r="I67" i="9"/>
  <c r="I181" i="9"/>
  <c r="I99" i="9"/>
  <c r="I294" i="9"/>
  <c r="I188" i="9"/>
  <c r="I312" i="9"/>
  <c r="I91" i="9"/>
  <c r="I315" i="9"/>
  <c r="I319" i="9"/>
  <c r="F66" i="9"/>
  <c r="F271" i="9"/>
  <c r="I151" i="9"/>
  <c r="I155" i="9"/>
  <c r="F162" i="9"/>
  <c r="F85" i="9"/>
  <c r="F227" i="9"/>
  <c r="I28" i="9"/>
  <c r="I30" i="9"/>
  <c r="I216" i="9"/>
  <c r="I220" i="9"/>
  <c r="I235" i="9"/>
  <c r="I87" i="9"/>
  <c r="I92" i="9"/>
  <c r="I10" i="9"/>
  <c r="F13" i="9"/>
  <c r="I6" i="9"/>
  <c r="I13" i="9"/>
  <c r="I14" i="9"/>
  <c r="I16" i="9"/>
  <c r="I238" i="9"/>
  <c r="I237" i="9"/>
  <c r="I358" i="9"/>
  <c r="I70" i="9"/>
  <c r="I69" i="9"/>
  <c r="I163" i="9"/>
  <c r="I36" i="9"/>
  <c r="I38" i="9"/>
  <c r="I134" i="9"/>
  <c r="I133" i="9"/>
  <c r="I100" i="9"/>
  <c r="I327" i="9"/>
  <c r="I196" i="9"/>
  <c r="I198" i="9"/>
  <c r="I330" i="9"/>
  <c r="I329" i="9"/>
  <c r="I165" i="9"/>
  <c r="I166" i="9"/>
  <c r="I102" i="9"/>
  <c r="I103" i="9"/>
  <c r="I360" i="9"/>
  <c r="I361" i="9"/>
</calcChain>
</file>

<file path=xl/sharedStrings.xml><?xml version="1.0" encoding="utf-8"?>
<sst xmlns="http://schemas.openxmlformats.org/spreadsheetml/2006/main" count="1053" uniqueCount="251">
  <si>
    <t>ITEM</t>
  </si>
  <si>
    <t>QUANT</t>
  </si>
  <si>
    <t>UNID</t>
  </si>
  <si>
    <t>UNIT</t>
  </si>
  <si>
    <t>TOTAL</t>
  </si>
  <si>
    <t>1.1</t>
  </si>
  <si>
    <t>2.1</t>
  </si>
  <si>
    <t>Total  do Item</t>
  </si>
  <si>
    <t>m³</t>
  </si>
  <si>
    <t xml:space="preserve">TOTAL  ORÇAMENTO </t>
  </si>
  <si>
    <t>m</t>
  </si>
  <si>
    <t>2.2</t>
  </si>
  <si>
    <t>3.1</t>
  </si>
  <si>
    <t>1.2</t>
  </si>
  <si>
    <t>Barracão de obra</t>
  </si>
  <si>
    <t>Locação da obra</t>
  </si>
  <si>
    <t>m²</t>
  </si>
  <si>
    <t>SUPER-ESTRUTURA</t>
  </si>
  <si>
    <t>SERVIÇOS INICIAIS</t>
  </si>
  <si>
    <t>3.2</t>
  </si>
  <si>
    <t>1.3</t>
  </si>
  <si>
    <t>unid</t>
  </si>
  <si>
    <t>Placa de Obra</t>
  </si>
  <si>
    <t xml:space="preserve">Vigotes treliçados </t>
  </si>
  <si>
    <t>PLANILHA ORÇAMENTÁRIA</t>
  </si>
  <si>
    <t xml:space="preserve">CÓDIGO </t>
  </si>
  <si>
    <t>SINAPI</t>
  </si>
  <si>
    <t>74.209/001</t>
  </si>
  <si>
    <t>Transporte vigotes até a obra</t>
  </si>
  <si>
    <t>1° ETAPA</t>
  </si>
  <si>
    <t>%</t>
  </si>
  <si>
    <t>2° ETAPA</t>
  </si>
  <si>
    <t>3° ETAPA</t>
  </si>
  <si>
    <t>1.0</t>
  </si>
  <si>
    <t>2.0</t>
  </si>
  <si>
    <t>3.0</t>
  </si>
  <si>
    <t>TOTAL ETAPA</t>
  </si>
  <si>
    <t xml:space="preserve">ÁREA    : 105,00 m².   </t>
  </si>
  <si>
    <t>MATERIAL</t>
  </si>
  <si>
    <t>MÃO DE OBRA</t>
  </si>
  <si>
    <t>SERVIÇOS</t>
  </si>
  <si>
    <t>VALOR</t>
  </si>
  <si>
    <t>S/BDI</t>
  </si>
  <si>
    <t>Cimento</t>
  </si>
  <si>
    <t>Areião</t>
  </si>
  <si>
    <t>Brita 01</t>
  </si>
  <si>
    <t>1.4</t>
  </si>
  <si>
    <t>1.5</t>
  </si>
  <si>
    <t>1.6</t>
  </si>
  <si>
    <t>1.7</t>
  </si>
  <si>
    <t>1.8</t>
  </si>
  <si>
    <t>Desmoldante p/concreto</t>
  </si>
  <si>
    <t>l</t>
  </si>
  <si>
    <t>2.3</t>
  </si>
  <si>
    <t>2.4</t>
  </si>
  <si>
    <t>2.5</t>
  </si>
  <si>
    <t>CRITÉRIOS UTILIZADOS :</t>
  </si>
  <si>
    <t>MÃO DE OBRA :</t>
  </si>
  <si>
    <t>2) LIMPAR/PASSAR DESMOLDANTE NA FORMA</t>
  </si>
  <si>
    <t>3) MONTAGEM DA FORMA</t>
  </si>
  <si>
    <t>4) PREPARO/LANÇAMENTO/VIBRAÇÃO CONCRETO.</t>
  </si>
  <si>
    <t>5) CURA DA PEÇA CONCRETADA</t>
  </si>
  <si>
    <t>6) DESFORMAR/DEPOSITAR PÁTIO.</t>
  </si>
  <si>
    <t>7)CARREGAR CAMINHÃO.</t>
  </si>
  <si>
    <t>Kg</t>
  </si>
  <si>
    <t>hora</t>
  </si>
  <si>
    <t>EQUIPAMENTOS</t>
  </si>
  <si>
    <t xml:space="preserve">Vibrador de imersão </t>
  </si>
  <si>
    <t xml:space="preserve">Bancada serra circular elétrica </t>
  </si>
  <si>
    <t>1) CORTE, DOBRA E MONTAGEM DA FERRAGEM</t>
  </si>
  <si>
    <t xml:space="preserve">Pedreiro </t>
  </si>
  <si>
    <t xml:space="preserve">Ferreiro </t>
  </si>
  <si>
    <t>Servente</t>
  </si>
  <si>
    <t xml:space="preserve">CUSTO TOTAL  VIGOTES TRELIÇADOS </t>
  </si>
  <si>
    <t>1) LIMPEZA/PASSAR DESMOLDANTE FORMA.</t>
  </si>
  <si>
    <t>2) PREPARO/LANÇAMENTO/VIBRAÇÃO CONCRETO.</t>
  </si>
  <si>
    <t>3) ESTALEIRAR FORMAS CONCRETADAS.</t>
  </si>
  <si>
    <t>4) DESFORMAR/DEPOSITAR PÁTIO.</t>
  </si>
  <si>
    <t>5)CARREGAR CAMINHÃO.</t>
  </si>
  <si>
    <t>1.</t>
  </si>
  <si>
    <t xml:space="preserve">CUSTO TOTAL  DESCARGA+LANÇAMENTO </t>
  </si>
  <si>
    <t>1) DESCARREGAR CAMINHÃO</t>
  </si>
  <si>
    <t xml:space="preserve">2) TRANSPORTE E MONTAGEM. </t>
  </si>
  <si>
    <t>TRANSPORTE</t>
  </si>
  <si>
    <t>Peso do vigote</t>
  </si>
  <si>
    <t xml:space="preserve">Quantidade </t>
  </si>
  <si>
    <t>Distância de Transporte</t>
  </si>
  <si>
    <t>km</t>
  </si>
  <si>
    <t>ton</t>
  </si>
  <si>
    <t>-</t>
  </si>
  <si>
    <t>h</t>
  </si>
  <si>
    <t>Forma chapa resinada 18 mm</t>
  </si>
  <si>
    <t>74.210/001</t>
  </si>
  <si>
    <t>73.992/001</t>
  </si>
  <si>
    <t>Mobilização e Desmobilização</t>
  </si>
  <si>
    <t>unid.</t>
  </si>
  <si>
    <t>PARÂMETROS DO BDI</t>
  </si>
  <si>
    <t>CRONOGRAMA FISICO-FINANCEIRO</t>
  </si>
  <si>
    <t>DISCRIMINAÇÃO</t>
  </si>
  <si>
    <t>CUSTO TOTAL</t>
  </si>
  <si>
    <t>VALOR DO BDI UTILIZADO</t>
  </si>
  <si>
    <t>CUSTO TOTAL C/ BDI</t>
  </si>
  <si>
    <t>Composição 1</t>
  </si>
  <si>
    <t>MOVIMENTO DE TERRA</t>
  </si>
  <si>
    <t>INFRA-ESTRUTURA</t>
  </si>
  <si>
    <t>4.0</t>
  </si>
  <si>
    <t>4.1</t>
  </si>
  <si>
    <t>5.0</t>
  </si>
  <si>
    <t>5.1</t>
  </si>
  <si>
    <t>5.3</t>
  </si>
  <si>
    <t>5.4</t>
  </si>
  <si>
    <t>5.5</t>
  </si>
  <si>
    <t>5.6</t>
  </si>
  <si>
    <t>5.7</t>
  </si>
  <si>
    <t>Viga de fundação em concreto armado</t>
  </si>
  <si>
    <t>Concreto Usinado Bombeado fck=30 MPa</t>
  </si>
  <si>
    <t>MESO-ESTRUTURA</t>
  </si>
  <si>
    <t>horas</t>
  </si>
  <si>
    <t>3.4</t>
  </si>
  <si>
    <t>3.3</t>
  </si>
  <si>
    <t>Composição 2</t>
  </si>
  <si>
    <t>Composição 3</t>
  </si>
  <si>
    <t>Composição 4</t>
  </si>
  <si>
    <t>txkm</t>
  </si>
  <si>
    <t>5.8</t>
  </si>
  <si>
    <t>Custo total de transporte txkm</t>
  </si>
  <si>
    <t>Composição 6</t>
  </si>
  <si>
    <t xml:space="preserve"> UNIDADE : m</t>
  </si>
  <si>
    <t>kg</t>
  </si>
  <si>
    <t>Areia média</t>
  </si>
  <si>
    <t>Ferro Ø 3/4" (20,00 mm) CA-50</t>
  </si>
  <si>
    <t>Betoneira 320 L</t>
  </si>
  <si>
    <t>Grupo gerador de 20 a 80 KVA a diesel</t>
  </si>
  <si>
    <t xml:space="preserve">Consumo de 600 kg/m³- fck 20 MPa - 1 saco de cimento para 751kg de areia </t>
  </si>
  <si>
    <t>3.5</t>
  </si>
  <si>
    <t>74.163/002</t>
  </si>
  <si>
    <t>Mestre obra</t>
  </si>
  <si>
    <t>Carpinteiros</t>
  </si>
  <si>
    <t xml:space="preserve">Pedreiros </t>
  </si>
  <si>
    <t>Serventes</t>
  </si>
  <si>
    <t>Treliça TR12</t>
  </si>
  <si>
    <r>
      <t xml:space="preserve">Tubulão a céu aberto </t>
    </r>
    <r>
      <rPr>
        <sz val="11"/>
        <rFont val="Calibri"/>
        <family val="2"/>
      </rPr>
      <t>Ø</t>
    </r>
    <r>
      <rPr>
        <sz val="11"/>
        <rFont val="Times New Roman"/>
        <family val="1"/>
      </rPr>
      <t xml:space="preserve"> 100 cm</t>
    </r>
  </si>
  <si>
    <t>4.3</t>
  </si>
  <si>
    <t>Ferreiros (armador)</t>
  </si>
  <si>
    <t>Escavação mecânica de solo 2ª categoria de 2,01m a 4,00m</t>
  </si>
  <si>
    <t>Cortina em concreto armado</t>
  </si>
  <si>
    <t>4.4</t>
  </si>
  <si>
    <t>Ferro Ø 5/8" (16,0mm) CA-50</t>
  </si>
  <si>
    <t>Ferro Ø 1/2" (12,5mm) CA-50</t>
  </si>
  <si>
    <t>Arame recozido</t>
  </si>
  <si>
    <t>Perfuração em rocha d=46mm</t>
  </si>
  <si>
    <t>Colocação de pinos em rocha d=20mm</t>
  </si>
  <si>
    <t>Escavação mecânica de solo 2ª categoria ate 2,00m</t>
  </si>
  <si>
    <t>UNIDADE: m³</t>
  </si>
  <si>
    <t>PREÇO SINAPI S/BDI</t>
  </si>
  <si>
    <t>Concreto 25 MPa</t>
  </si>
  <si>
    <t>Ferro Ø 1/4" (6,3mm) CA-50</t>
  </si>
  <si>
    <t>Tela Q 196, malha 10 x 10</t>
  </si>
  <si>
    <t xml:space="preserve">Tubo PVC 100 mm </t>
  </si>
  <si>
    <t>Guincho tipo munk cap 6T</t>
  </si>
  <si>
    <t>Paulo Ricardo Zago Nogara</t>
  </si>
  <si>
    <t>Eng.° Civil</t>
  </si>
  <si>
    <t>1) Distância média de transporte (DMT) Porto Alegre/Vila Nova do Sul - 350km</t>
  </si>
  <si>
    <t>Ferro Ø 3/4" (20,0mm) CA-50</t>
  </si>
  <si>
    <t>Ferro Ø 5,0mm CA-60</t>
  </si>
  <si>
    <t>CREA/RS: 70.065</t>
  </si>
  <si>
    <t>Siglas</t>
  </si>
  <si>
    <t>% Adotado</t>
  </si>
  <si>
    <t>Situação</t>
  </si>
  <si>
    <t>Intervalo de admissibilidade</t>
  </si>
  <si>
    <t>1º Quartil</t>
  </si>
  <si>
    <t>Médio</t>
  </si>
  <si>
    <t>3º Quartil</t>
  </si>
  <si>
    <t>Tributos (impostos COFINS 3%, e  PIS 0,65%)</t>
  </si>
  <si>
    <t>Tributos (ISS, variável de acordo com o município)</t>
  </si>
  <si>
    <t>Tributos (Contribuição Previdenciária - 0% ou 4,5%, conforme Lei 12.844/2013 - Desoneração)</t>
  </si>
  <si>
    <t>CPRB</t>
  </si>
  <si>
    <t>OK</t>
  </si>
  <si>
    <t>______________________________________</t>
  </si>
  <si>
    <t>_________________________</t>
  </si>
  <si>
    <t>TOTAL BDI</t>
  </si>
  <si>
    <t>______________________________</t>
  </si>
  <si>
    <t>4° ETAPA</t>
  </si>
  <si>
    <t>Composição 7</t>
  </si>
  <si>
    <t>Composição 1 - Mobilização e Desmobilização</t>
  </si>
  <si>
    <t>EQUIPAMENTOS:</t>
  </si>
  <si>
    <t xml:space="preserve">Grupo gerador 60/66 KVA 85HP </t>
  </si>
  <si>
    <t xml:space="preserve">Escavadeira hidraulica </t>
  </si>
  <si>
    <t>Motor-bomba diesel p/drenar agua suja 6HP</t>
  </si>
  <si>
    <t>Vibrador imersão motor elétrico 2 CV</t>
  </si>
  <si>
    <t>Compressor Atlas/Copco 250 a 275 PCM</t>
  </si>
  <si>
    <t>Martelete/rompedor Atlas-Copco</t>
  </si>
  <si>
    <t>Betoneira 320 litros motor elétrico 2 CV</t>
  </si>
  <si>
    <t>Composição 2 - Colocação de pinos em rocha d=20,00mm</t>
  </si>
  <si>
    <t>_______________________________</t>
  </si>
  <si>
    <t>Montagem das longarinas com guindaste auto-propelido</t>
  </si>
  <si>
    <t>Ferro Ø 5,0 mm CA-60</t>
  </si>
  <si>
    <t>Composição 8</t>
  </si>
  <si>
    <t>Composição 3 - Tubulão a céu aberto Ø 100 cm</t>
  </si>
  <si>
    <t xml:space="preserve"> UNIDADE : m³</t>
  </si>
  <si>
    <t>Concreto fck = 25 MPa</t>
  </si>
  <si>
    <t>Tubo de concreto PA-2 - 1000mm</t>
  </si>
  <si>
    <t>Caminhão guincho para lançamento</t>
  </si>
  <si>
    <t>Composição 4 - Viga de fundação em concreto armado</t>
  </si>
  <si>
    <t>Ferro Ø 1/2" (12,50mm) CA-50</t>
  </si>
  <si>
    <t>Ferro Ø 5/16" (8,0mm) CA-50</t>
  </si>
  <si>
    <t>Tabua de madeira de 2ª qualidade</t>
  </si>
  <si>
    <t>Ferro Ø 5/8" (16,00mm) CA-50</t>
  </si>
  <si>
    <t>Composição 9</t>
  </si>
  <si>
    <t>Composição 12</t>
  </si>
  <si>
    <t>Composição 13</t>
  </si>
  <si>
    <t xml:space="preserve"> UNIDADE : unidade</t>
  </si>
  <si>
    <t xml:space="preserve"> UNIDADE : txkm</t>
  </si>
  <si>
    <t>Ferro Ø 5/16" (8,00mm) CA-50</t>
  </si>
  <si>
    <t>CUSTO POR M³ S/ BDI</t>
  </si>
  <si>
    <t>Longarinas concr. armado 0,30x1,10x19,00m *</t>
  </si>
  <si>
    <t>Proprietário: Prefeitura Municipal  de Caçapava do Sul</t>
  </si>
  <si>
    <t>Concreto aparente; fck=25MPa "in loco"( tabuleiro)</t>
  </si>
  <si>
    <t>Pilar em concreto  0,20x0,50x4,70</t>
  </si>
  <si>
    <t xml:space="preserve"> </t>
  </si>
  <si>
    <t>Composição 5 - Pilar em concreto  0,2x0,50 x 4,60 m</t>
  </si>
  <si>
    <t>Guarda-Roda em concreto armado</t>
  </si>
  <si>
    <t>*As longarinas serão executadas no local da  obra aterros da cabeceira será executado pela Prefeitura</t>
  </si>
  <si>
    <t>Caçapava do Sul, 21 de outubro de 2025</t>
  </si>
  <si>
    <t>As planilhas de referência dos custos do SINAPI utilizadas, são as do mês de setembro de 2025</t>
  </si>
  <si>
    <t>Concreto fck = 30 MPa</t>
  </si>
  <si>
    <t xml:space="preserve"> UNIDADE : UND</t>
  </si>
  <si>
    <t>Concreto fck = 30MPa</t>
  </si>
  <si>
    <t>Composição 6 - Cortina em concreto armado</t>
  </si>
  <si>
    <t>Guincho Manual  para lançamento</t>
  </si>
  <si>
    <t>Concreto 30 MPa</t>
  </si>
  <si>
    <t>Composição  7- Longarina para Ponte                      DIMENSÕES : 0,30mx 0,90m x 14,00m</t>
  </si>
  <si>
    <t>Composição 9 - Vigotes Treliçados                       DIMENSÕES : 1,00m x 0,05 m x 0,125m</t>
  </si>
  <si>
    <t>Composição 10 - Vigotes Treliçados                       DIMENSÕES : 1,00m x 0,05 m x 0,125m</t>
  </si>
  <si>
    <t>Composição 11 - Transporte Vigotes Treliçados                    DIMENSÕES : 1,00m x 0,05 m x 0,125m</t>
  </si>
  <si>
    <t>Composição 12 - Concreto armado da laje moldada "in loco"</t>
  </si>
  <si>
    <t>Composição 13 - Guarda Corpo em concreto armado</t>
  </si>
  <si>
    <t>Caçapava do Sul, 22 de outubro de 2025</t>
  </si>
  <si>
    <t>Caçapava do Sul, 22 de outubro  de 2025</t>
  </si>
  <si>
    <t>ot258</t>
  </si>
  <si>
    <t>und</t>
  </si>
  <si>
    <t>Composição 5</t>
  </si>
  <si>
    <t>composição10</t>
  </si>
  <si>
    <t>Área: 72 m² Pista de Rolamento ( Tabuleiro)</t>
  </si>
  <si>
    <t>CODIGO</t>
  </si>
  <si>
    <t>Local:  Ponte da Vila Sul</t>
  </si>
  <si>
    <t>PLANILHAS DE COMPOSIÇÃO DE CUSTOS-PONTE VILA SUL</t>
  </si>
  <si>
    <t xml:space="preserve">Obra: Ponte da Vila Sul  12 m de comp. X  6 m larg. </t>
  </si>
  <si>
    <t>Composição 8 - Concreto enchimento das longarina/viga de fundação</t>
  </si>
  <si>
    <t>Concreto armado viga de fundação</t>
  </si>
  <si>
    <t>Viga de fechamento de apoio da longarina e enchimento dos vão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</si>
</sst>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71" formatCode="_(* #,##0.00_);_(* \(#,##0.00\);_(* &quot;-&quot;??_);_(@_)"/>
    <numFmt numFmtId="173" formatCode="_(* #,##0_);_(* \(#,##0\);_(* &quot;-&quot;??_);_(@_)"/>
    <numFmt numFmtId="174" formatCode="_-[$R$-416]\ * #,##0.00_-;\-[$R$-416]\ * #,##0.00_-;_-[$R$-416]\ * &quot;-&quot;??_-;_-@_-"/>
    <numFmt numFmtId="176" formatCode="&quot;R$&quot;\ #,##0.00"/>
    <numFmt numFmtId="182" formatCode="0.000"/>
    <numFmt numFmtId="186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i/>
      <u/>
      <sz val="10"/>
      <name val="Times New Roman"/>
      <family val="1"/>
    </font>
    <font>
      <b/>
      <sz val="10.5"/>
      <name val="Times New Roman"/>
      <family val="1"/>
    </font>
    <font>
      <sz val="10.5"/>
      <name val="Times New Roman"/>
      <family val="1"/>
    </font>
    <font>
      <i/>
      <sz val="10.5"/>
      <name val="Times New Roman"/>
      <family val="1"/>
    </font>
    <font>
      <i/>
      <u/>
      <sz val="10.5"/>
      <name val="Times New Roman"/>
      <family val="1"/>
    </font>
    <font>
      <sz val="11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481">
    <xf numFmtId="0" fontId="0" fillId="0" borderId="0" xfId="0"/>
    <xf numFmtId="0" fontId="4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3" fillId="0" borderId="3" xfId="0" applyFont="1" applyBorder="1"/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Fill="1"/>
    <xf numFmtId="0" fontId="5" fillId="0" borderId="0" xfId="0" applyFont="1" applyFill="1"/>
    <xf numFmtId="171" fontId="3" fillId="0" borderId="2" xfId="4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" fontId="3" fillId="0" borderId="2" xfId="4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171" fontId="4" fillId="2" borderId="0" xfId="4" applyFont="1" applyFill="1" applyBorder="1" applyAlignment="1">
      <alignment horizontal="right" vertical="center"/>
    </xf>
    <xf numFmtId="2" fontId="4" fillId="2" borderId="0" xfId="0" applyNumberFormat="1" applyFont="1" applyFill="1" applyBorder="1" applyAlignment="1">
      <alignment horizontal="right" vertical="center"/>
    </xf>
    <xf numFmtId="44" fontId="5" fillId="0" borderId="4" xfId="1" applyFont="1" applyBorder="1"/>
    <xf numFmtId="10" fontId="3" fillId="0" borderId="2" xfId="3" applyNumberFormat="1" applyFont="1" applyBorder="1" applyAlignment="1">
      <alignment horizontal="center" vertical="center"/>
    </xf>
    <xf numFmtId="44" fontId="3" fillId="0" borderId="2" xfId="0" applyNumberFormat="1" applyFont="1" applyBorder="1" applyAlignment="1">
      <alignment horizontal="center" vertical="center"/>
    </xf>
    <xf numFmtId="44" fontId="5" fillId="0" borderId="2" xfId="1" applyFont="1" applyBorder="1"/>
    <xf numFmtId="10" fontId="3" fillId="0" borderId="2" xfId="3" applyNumberFormat="1" applyFont="1" applyFill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44" fontId="3" fillId="0" borderId="2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2" fontId="6" fillId="2" borderId="0" xfId="0" applyNumberFormat="1" applyFont="1" applyFill="1" applyBorder="1" applyAlignment="1">
      <alignment horizontal="right" vertical="center"/>
    </xf>
    <xf numFmtId="171" fontId="6" fillId="2" borderId="0" xfId="4" applyFont="1" applyFill="1" applyBorder="1" applyAlignment="1">
      <alignment horizontal="right" vertical="center"/>
    </xf>
    <xf numFmtId="0" fontId="4" fillId="0" borderId="0" xfId="0" applyFont="1"/>
    <xf numFmtId="0" fontId="7" fillId="0" borderId="0" xfId="0" applyFont="1" applyBorder="1" applyAlignment="1">
      <alignment horizontal="center" vertical="center"/>
    </xf>
    <xf numFmtId="17" fontId="8" fillId="0" borderId="10" xfId="0" applyNumberFormat="1" applyFont="1" applyFill="1" applyBorder="1" applyAlignment="1">
      <alignment horizontal="center"/>
    </xf>
    <xf numFmtId="17" fontId="8" fillId="0" borderId="11" xfId="0" applyNumberFormat="1" applyFont="1" applyFill="1" applyBorder="1" applyAlignment="1">
      <alignment horizontal="center"/>
    </xf>
    <xf numFmtId="0" fontId="3" fillId="0" borderId="3" xfId="0" applyFont="1" applyFill="1" applyBorder="1"/>
    <xf numFmtId="0" fontId="5" fillId="0" borderId="4" xfId="0" applyFont="1" applyFill="1" applyBorder="1" applyAlignment="1">
      <alignment horizontal="center"/>
    </xf>
    <xf numFmtId="0" fontId="3" fillId="0" borderId="4" xfId="0" applyFont="1" applyFill="1" applyBorder="1"/>
    <xf numFmtId="176" fontId="3" fillId="0" borderId="4" xfId="0" applyNumberFormat="1" applyFont="1" applyFill="1" applyBorder="1" applyAlignment="1">
      <alignment horizontal="center" vertical="center"/>
    </xf>
    <xf numFmtId="173" fontId="5" fillId="0" borderId="12" xfId="0" applyNumberFormat="1" applyFont="1" applyFill="1" applyBorder="1"/>
    <xf numFmtId="174" fontId="5" fillId="0" borderId="13" xfId="0" applyNumberFormat="1" applyFont="1" applyFill="1" applyBorder="1"/>
    <xf numFmtId="44" fontId="9" fillId="3" borderId="14" xfId="1" applyFont="1" applyFill="1" applyBorder="1" applyAlignment="1">
      <alignment horizontal="right" vertical="center"/>
    </xf>
    <xf numFmtId="173" fontId="9" fillId="3" borderId="2" xfId="4" applyNumberFormat="1" applyFont="1" applyFill="1" applyBorder="1" applyAlignment="1">
      <alignment horizontal="right"/>
    </xf>
    <xf numFmtId="44" fontId="9" fillId="3" borderId="2" xfId="1" applyFont="1" applyFill="1" applyBorder="1" applyAlignment="1">
      <alignment horizontal="right" vertical="center"/>
    </xf>
    <xf numFmtId="173" fontId="9" fillId="3" borderId="2" xfId="4" applyNumberFormat="1" applyFont="1" applyFill="1" applyBorder="1" applyAlignment="1">
      <alignment horizontal="right" vertical="center"/>
    </xf>
    <xf numFmtId="174" fontId="9" fillId="3" borderId="2" xfId="0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vertical="center"/>
    </xf>
    <xf numFmtId="0" fontId="9" fillId="0" borderId="16" xfId="0" applyFont="1" applyFill="1" applyBorder="1" applyAlignment="1">
      <alignment horizontal="center" vertical="center"/>
    </xf>
    <xf numFmtId="2" fontId="9" fillId="0" borderId="16" xfId="0" applyNumberFormat="1" applyFont="1" applyFill="1" applyBorder="1" applyAlignment="1">
      <alignment vertical="center"/>
    </xf>
    <xf numFmtId="2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Fill="1" applyBorder="1" applyAlignment="1">
      <alignment horizontal="right" vertical="center"/>
    </xf>
    <xf numFmtId="17" fontId="9" fillId="3" borderId="19" xfId="0" applyNumberFormat="1" applyFont="1" applyFill="1" applyBorder="1" applyAlignment="1">
      <alignment horizontal="center" vertical="center"/>
    </xf>
    <xf numFmtId="17" fontId="9" fillId="3" borderId="19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171" fontId="9" fillId="0" borderId="14" xfId="4" applyFont="1" applyFill="1" applyBorder="1" applyAlignment="1">
      <alignment horizontal="right" vertical="center"/>
    </xf>
    <xf numFmtId="171" fontId="9" fillId="0" borderId="14" xfId="4" applyFont="1" applyFill="1" applyBorder="1" applyAlignment="1">
      <alignment horizontal="center" vertical="center"/>
    </xf>
    <xf numFmtId="171" fontId="9" fillId="0" borderId="2" xfId="4" applyFont="1" applyFill="1" applyBorder="1" applyAlignment="1">
      <alignment horizontal="right" vertical="center"/>
    </xf>
    <xf numFmtId="171" fontId="9" fillId="0" borderId="2" xfId="4" applyFont="1" applyFill="1" applyBorder="1" applyAlignment="1">
      <alignment horizontal="center" vertical="center"/>
    </xf>
    <xf numFmtId="174" fontId="9" fillId="3" borderId="2" xfId="4" applyNumberFormat="1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171" fontId="9" fillId="0" borderId="17" xfId="4" applyFont="1" applyFill="1" applyBorder="1" applyAlignment="1">
      <alignment horizontal="right" vertical="center"/>
    </xf>
    <xf numFmtId="171" fontId="9" fillId="0" borderId="17" xfId="4" applyFont="1" applyFill="1" applyBorder="1" applyAlignment="1">
      <alignment horizontal="center" vertical="center"/>
    </xf>
    <xf numFmtId="171" fontId="8" fillId="0" borderId="17" xfId="4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11" fontId="8" fillId="0" borderId="15" xfId="0" applyNumberFormat="1" applyFont="1" applyFill="1" applyBorder="1" applyAlignment="1">
      <alignment vertical="center"/>
    </xf>
    <xf numFmtId="171" fontId="9" fillId="0" borderId="15" xfId="4" applyFont="1" applyFill="1" applyBorder="1" applyAlignment="1">
      <alignment vertical="center"/>
    </xf>
    <xf numFmtId="171" fontId="9" fillId="0" borderId="16" xfId="4" applyFont="1" applyFill="1" applyBorder="1" applyAlignment="1">
      <alignment horizontal="center" vertical="center"/>
    </xf>
    <xf numFmtId="171" fontId="9" fillId="0" borderId="16" xfId="4" applyFont="1" applyFill="1" applyBorder="1" applyAlignment="1">
      <alignment vertical="center"/>
    </xf>
    <xf numFmtId="171" fontId="9" fillId="0" borderId="16" xfId="4" applyFont="1" applyFill="1" applyBorder="1" applyAlignment="1">
      <alignment horizontal="right" vertical="center"/>
    </xf>
    <xf numFmtId="0" fontId="9" fillId="3" borderId="20" xfId="0" applyFont="1" applyFill="1" applyBorder="1" applyAlignment="1">
      <alignment horizontal="right" vertical="center"/>
    </xf>
    <xf numFmtId="171" fontId="9" fillId="0" borderId="14" xfId="4" applyFont="1" applyFill="1" applyBorder="1" applyAlignment="1">
      <alignment vertical="center"/>
    </xf>
    <xf numFmtId="171" fontId="9" fillId="0" borderId="2" xfId="4" applyFont="1" applyFill="1" applyBorder="1" applyAlignment="1">
      <alignment vertical="center"/>
    </xf>
    <xf numFmtId="171" fontId="9" fillId="0" borderId="17" xfId="4" applyFont="1" applyFill="1" applyBorder="1" applyAlignment="1">
      <alignment vertical="center"/>
    </xf>
    <xf numFmtId="171" fontId="9" fillId="3" borderId="21" xfId="4" applyFont="1" applyFill="1" applyBorder="1" applyAlignment="1">
      <alignment horizontal="right"/>
    </xf>
    <xf numFmtId="0" fontId="9" fillId="3" borderId="22" xfId="0" applyFont="1" applyFill="1" applyBorder="1" applyAlignment="1">
      <alignment horizontal="right" vertical="center"/>
    </xf>
    <xf numFmtId="171" fontId="8" fillId="0" borderId="16" xfId="4" applyFont="1" applyFill="1" applyBorder="1" applyAlignment="1">
      <alignment vertical="center"/>
    </xf>
    <xf numFmtId="171" fontId="8" fillId="0" borderId="20" xfId="4" applyFont="1" applyFill="1" applyBorder="1" applyAlignment="1">
      <alignment vertical="center"/>
    </xf>
    <xf numFmtId="44" fontId="8" fillId="0" borderId="16" xfId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right" vertical="center"/>
    </xf>
    <xf numFmtId="171" fontId="9" fillId="0" borderId="0" xfId="4" applyFont="1" applyFill="1" applyBorder="1" applyAlignment="1">
      <alignment horizontal="right" vertical="center"/>
    </xf>
    <xf numFmtId="171" fontId="10" fillId="0" borderId="0" xfId="4" applyFont="1" applyFill="1" applyBorder="1" applyAlignment="1">
      <alignment horizontal="right" vertical="center"/>
    </xf>
    <xf numFmtId="0" fontId="9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44" fontId="9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20" xfId="0" applyFont="1" applyFill="1" applyBorder="1"/>
    <xf numFmtId="0" fontId="0" fillId="3" borderId="2" xfId="0" applyFill="1" applyBorder="1"/>
    <xf numFmtId="171" fontId="8" fillId="0" borderId="2" xfId="4" applyFont="1" applyFill="1" applyBorder="1" applyAlignment="1">
      <alignment vertical="center"/>
    </xf>
    <xf numFmtId="44" fontId="8" fillId="0" borderId="15" xfId="1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right" vertical="center"/>
    </xf>
    <xf numFmtId="0" fontId="9" fillId="3" borderId="2" xfId="0" applyFont="1" applyFill="1" applyBorder="1"/>
    <xf numFmtId="44" fontId="9" fillId="0" borderId="2" xfId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/>
    </xf>
    <xf numFmtId="0" fontId="3" fillId="0" borderId="23" xfId="0" applyFont="1" applyFill="1" applyBorder="1"/>
    <xf numFmtId="0" fontId="3" fillId="0" borderId="23" xfId="0" applyFont="1" applyFill="1" applyBorder="1" applyAlignment="1">
      <alignment horizontal="center"/>
    </xf>
    <xf numFmtId="2" fontId="3" fillId="0" borderId="23" xfId="0" applyNumberFormat="1" applyFont="1" applyFill="1" applyBorder="1"/>
    <xf numFmtId="2" fontId="3" fillId="0" borderId="23" xfId="0" applyNumberFormat="1" applyFont="1" applyFill="1" applyBorder="1" applyAlignment="1">
      <alignment horizontal="right"/>
    </xf>
    <xf numFmtId="0" fontId="3" fillId="0" borderId="23" xfId="0" applyFont="1" applyFill="1" applyBorder="1" applyAlignment="1">
      <alignment horizontal="right"/>
    </xf>
    <xf numFmtId="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4" fontId="3" fillId="0" borderId="4" xfId="1" applyFont="1" applyFill="1" applyBorder="1" applyAlignment="1">
      <alignment horizontal="center" vertical="center"/>
    </xf>
    <xf numFmtId="44" fontId="5" fillId="0" borderId="4" xfId="1" applyFont="1" applyFill="1" applyBorder="1" applyAlignment="1">
      <alignment horizontal="center" vertical="center"/>
    </xf>
    <xf numFmtId="174" fontId="5" fillId="4" borderId="24" xfId="4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4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4" fontId="3" fillId="0" borderId="17" xfId="1" applyFont="1" applyFill="1" applyBorder="1" applyAlignment="1">
      <alignment horizontal="center" vertical="center"/>
    </xf>
    <xf numFmtId="0" fontId="5" fillId="0" borderId="23" xfId="0" applyFont="1" applyFill="1" applyBorder="1"/>
    <xf numFmtId="4" fontId="3" fillId="0" borderId="23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44" fontId="3" fillId="0" borderId="23" xfId="1" applyFont="1" applyFill="1" applyBorder="1" applyAlignment="1">
      <alignment horizontal="center" vertical="center"/>
    </xf>
    <xf numFmtId="174" fontId="3" fillId="4" borderId="26" xfId="0" applyNumberFormat="1" applyFont="1" applyFill="1" applyBorder="1" applyAlignment="1">
      <alignment horizontal="right"/>
    </xf>
    <xf numFmtId="0" fontId="3" fillId="0" borderId="27" xfId="0" applyFont="1" applyFill="1" applyBorder="1"/>
    <xf numFmtId="0" fontId="5" fillId="0" borderId="28" xfId="0" applyFont="1" applyFill="1" applyBorder="1" applyAlignment="1">
      <alignment horizontal="center"/>
    </xf>
    <xf numFmtId="0" fontId="3" fillId="0" borderId="28" xfId="0" applyFont="1" applyFill="1" applyBorder="1"/>
    <xf numFmtId="176" fontId="3" fillId="0" borderId="2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0" fontId="5" fillId="0" borderId="29" xfId="3" applyNumberFormat="1" applyFont="1" applyFill="1" applyBorder="1" applyAlignment="1">
      <alignment horizontal="center" vertical="center"/>
    </xf>
    <xf numFmtId="10" fontId="5" fillId="0" borderId="24" xfId="3" applyNumberFormat="1" applyFont="1" applyFill="1" applyBorder="1" applyAlignment="1">
      <alignment horizontal="center" vertical="center"/>
    </xf>
    <xf numFmtId="10" fontId="5" fillId="0" borderId="4" xfId="3" applyNumberFormat="1" applyFont="1" applyFill="1" applyBorder="1" applyAlignment="1">
      <alignment horizontal="center" vertical="center"/>
    </xf>
    <xf numFmtId="173" fontId="3" fillId="4" borderId="2" xfId="4" applyNumberFormat="1" applyFont="1" applyFill="1" applyBorder="1" applyAlignment="1">
      <alignment horizontal="center" vertical="center"/>
    </xf>
    <xf numFmtId="44" fontId="5" fillId="0" borderId="28" xfId="1" applyFont="1" applyFill="1" applyBorder="1" applyAlignment="1">
      <alignment horizontal="center" vertical="center"/>
    </xf>
    <xf numFmtId="44" fontId="3" fillId="0" borderId="28" xfId="1" applyFont="1" applyFill="1" applyBorder="1" applyAlignment="1">
      <alignment horizontal="center" vertical="center"/>
    </xf>
    <xf numFmtId="44" fontId="9" fillId="0" borderId="2" xfId="1" applyFont="1" applyFill="1" applyBorder="1" applyAlignment="1">
      <alignment vertical="center"/>
    </xf>
    <xf numFmtId="44" fontId="3" fillId="0" borderId="2" xfId="1" applyFont="1" applyFill="1" applyBorder="1" applyAlignment="1">
      <alignment vertical="center"/>
    </xf>
    <xf numFmtId="44" fontId="3" fillId="0" borderId="17" xfId="1" applyFont="1" applyFill="1" applyBorder="1" applyAlignment="1">
      <alignment vertical="center"/>
    </xf>
    <xf numFmtId="44" fontId="9" fillId="0" borderId="14" xfId="1" applyFont="1" applyFill="1" applyBorder="1" applyAlignment="1">
      <alignment horizontal="right" vertical="center"/>
    </xf>
    <xf numFmtId="44" fontId="9" fillId="0" borderId="2" xfId="1" applyFont="1" applyFill="1" applyBorder="1" applyAlignment="1">
      <alignment horizontal="right" vertical="center"/>
    </xf>
    <xf numFmtId="173" fontId="9" fillId="3" borderId="17" xfId="4" applyNumberFormat="1" applyFont="1" applyFill="1" applyBorder="1" applyAlignment="1">
      <alignment horizontal="right"/>
    </xf>
    <xf numFmtId="44" fontId="8" fillId="0" borderId="17" xfId="1" applyFont="1" applyFill="1" applyBorder="1" applyAlignment="1">
      <alignment horizontal="right" vertical="center"/>
    </xf>
    <xf numFmtId="171" fontId="9" fillId="3" borderId="2" xfId="4" applyFont="1" applyFill="1" applyBorder="1" applyAlignment="1">
      <alignment horizontal="right" vertical="center"/>
    </xf>
    <xf numFmtId="171" fontId="9" fillId="3" borderId="30" xfId="4" applyFont="1" applyFill="1" applyBorder="1" applyAlignment="1">
      <alignment horizontal="left"/>
    </xf>
    <xf numFmtId="0" fontId="9" fillId="3" borderId="19" xfId="0" applyFont="1" applyFill="1" applyBorder="1" applyAlignment="1">
      <alignment vertical="center"/>
    </xf>
    <xf numFmtId="173" fontId="9" fillId="3" borderId="16" xfId="4" applyNumberFormat="1" applyFont="1" applyFill="1" applyBorder="1" applyAlignment="1">
      <alignment horizontal="right" vertical="center"/>
    </xf>
    <xf numFmtId="171" fontId="9" fillId="3" borderId="16" xfId="4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44" fontId="9" fillId="0" borderId="14" xfId="1" applyFont="1" applyFill="1" applyBorder="1" applyAlignment="1">
      <alignment vertical="center"/>
    </xf>
    <xf numFmtId="44" fontId="8" fillId="0" borderId="15" xfId="1" applyFont="1" applyFill="1" applyBorder="1" applyAlignment="1">
      <alignment horizontal="right" vertical="center"/>
    </xf>
    <xf numFmtId="44" fontId="8" fillId="0" borderId="2" xfId="1" applyFont="1" applyFill="1" applyBorder="1" applyAlignment="1">
      <alignment horizontal="right" vertical="center"/>
    </xf>
    <xf numFmtId="171" fontId="8" fillId="0" borderId="25" xfId="4" applyFont="1" applyFill="1" applyBorder="1" applyAlignment="1">
      <alignment vertical="center"/>
    </xf>
    <xf numFmtId="44" fontId="8" fillId="0" borderId="11" xfId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71" fontId="8" fillId="0" borderId="1" xfId="4" applyFont="1" applyFill="1" applyBorder="1" applyAlignment="1">
      <alignment vertical="center"/>
    </xf>
    <xf numFmtId="44" fontId="8" fillId="0" borderId="29" xfId="1" applyFont="1" applyFill="1" applyBorder="1" applyAlignment="1">
      <alignment vertical="center"/>
    </xf>
    <xf numFmtId="0" fontId="9" fillId="0" borderId="1" xfId="0" applyFont="1" applyFill="1" applyBorder="1"/>
    <xf numFmtId="44" fontId="8" fillId="0" borderId="29" xfId="0" applyNumberFormat="1" applyFont="1" applyFill="1" applyBorder="1"/>
    <xf numFmtId="10" fontId="8" fillId="0" borderId="29" xfId="3" applyNumberFormat="1" applyFont="1" applyFill="1" applyBorder="1" applyAlignment="1">
      <alignment vertical="center"/>
    </xf>
    <xf numFmtId="171" fontId="8" fillId="0" borderId="3" xfId="4" applyFont="1" applyFill="1" applyBorder="1" applyAlignment="1">
      <alignment vertical="center"/>
    </xf>
    <xf numFmtId="44" fontId="8" fillId="0" borderId="24" xfId="1" applyFont="1" applyFill="1" applyBorder="1" applyAlignment="1">
      <alignment vertical="center"/>
    </xf>
    <xf numFmtId="0" fontId="0" fillId="3" borderId="0" xfId="0" applyFill="1"/>
    <xf numFmtId="186" fontId="9" fillId="0" borderId="14" xfId="4" applyNumberFormat="1" applyFont="1" applyFill="1" applyBorder="1" applyAlignment="1">
      <alignment vertical="center"/>
    </xf>
    <xf numFmtId="44" fontId="9" fillId="0" borderId="14" xfId="1" applyFont="1" applyFill="1" applyBorder="1" applyAlignment="1">
      <alignment horizontal="center" vertical="center"/>
    </xf>
    <xf numFmtId="182" fontId="9" fillId="0" borderId="14" xfId="1" applyNumberFormat="1" applyFont="1" applyFill="1" applyBorder="1" applyAlignment="1">
      <alignment horizontal="right" vertical="center"/>
    </xf>
    <xf numFmtId="2" fontId="9" fillId="0" borderId="14" xfId="1" applyNumberFormat="1" applyFont="1" applyFill="1" applyBorder="1" applyAlignment="1">
      <alignment horizontal="right" vertical="center"/>
    </xf>
    <xf numFmtId="2" fontId="9" fillId="0" borderId="2" xfId="1" applyNumberFormat="1" applyFont="1" applyFill="1" applyBorder="1" applyAlignment="1">
      <alignment horizontal="right" vertical="center"/>
    </xf>
    <xf numFmtId="4" fontId="8" fillId="0" borderId="15" xfId="1" applyNumberFormat="1" applyFont="1" applyFill="1" applyBorder="1" applyAlignment="1">
      <alignment horizontal="right" vertical="center"/>
    </xf>
    <xf numFmtId="44" fontId="8" fillId="0" borderId="21" xfId="1" applyFont="1" applyFill="1" applyBorder="1" applyAlignment="1">
      <alignment vertical="center"/>
    </xf>
    <xf numFmtId="10" fontId="8" fillId="0" borderId="26" xfId="3" applyNumberFormat="1" applyFont="1" applyFill="1" applyBorder="1" applyAlignment="1">
      <alignment vertical="center"/>
    </xf>
    <xf numFmtId="44" fontId="8" fillId="0" borderId="2" xfId="1" applyFont="1" applyFill="1" applyBorder="1" applyAlignment="1">
      <alignment horizontal="center" vertical="center"/>
    </xf>
    <xf numFmtId="44" fontId="9" fillId="0" borderId="31" xfId="1" applyFont="1" applyFill="1" applyBorder="1" applyAlignment="1">
      <alignment horizontal="center" vertical="center"/>
    </xf>
    <xf numFmtId="44" fontId="9" fillId="0" borderId="17" xfId="1" applyFont="1" applyFill="1" applyBorder="1" applyAlignment="1">
      <alignment horizontal="center" vertical="center"/>
    </xf>
    <xf numFmtId="44" fontId="8" fillId="0" borderId="17" xfId="1" applyFont="1" applyFill="1" applyBorder="1" applyAlignment="1">
      <alignment horizontal="center" vertical="center"/>
    </xf>
    <xf numFmtId="171" fontId="8" fillId="0" borderId="32" xfId="4" applyFont="1" applyFill="1" applyBorder="1" applyAlignment="1">
      <alignment vertical="center"/>
    </xf>
    <xf numFmtId="176" fontId="8" fillId="0" borderId="33" xfId="4" applyNumberFormat="1" applyFont="1" applyFill="1" applyBorder="1" applyAlignment="1">
      <alignment vertical="center"/>
    </xf>
    <xf numFmtId="171" fontId="8" fillId="0" borderId="6" xfId="4" applyFont="1" applyFill="1" applyBorder="1" applyAlignment="1">
      <alignment vertical="center"/>
    </xf>
    <xf numFmtId="10" fontId="8" fillId="0" borderId="8" xfId="3" applyNumberFormat="1" applyFont="1" applyFill="1" applyBorder="1" applyAlignment="1">
      <alignment vertical="center"/>
    </xf>
    <xf numFmtId="171" fontId="8" fillId="0" borderId="27" xfId="4" applyFont="1" applyFill="1" applyBorder="1" applyAlignment="1">
      <alignment vertical="center"/>
    </xf>
    <xf numFmtId="176" fontId="8" fillId="0" borderId="13" xfId="4" applyNumberFormat="1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3" fillId="0" borderId="25" xfId="0" applyFont="1" applyBorder="1"/>
    <xf numFmtId="0" fontId="5" fillId="0" borderId="23" xfId="0" applyFont="1" applyBorder="1" applyAlignment="1">
      <alignment horizontal="center"/>
    </xf>
    <xf numFmtId="44" fontId="5" fillId="0" borderId="23" xfId="1" applyFont="1" applyBorder="1"/>
    <xf numFmtId="10" fontId="5" fillId="0" borderId="23" xfId="3" applyNumberFormat="1" applyFont="1" applyFill="1" applyBorder="1" applyAlignment="1">
      <alignment horizontal="center" vertical="center"/>
    </xf>
    <xf numFmtId="10" fontId="5" fillId="0" borderId="26" xfId="3" applyNumberFormat="1" applyFont="1" applyFill="1" applyBorder="1" applyAlignment="1">
      <alignment horizontal="center" vertical="center"/>
    </xf>
    <xf numFmtId="2" fontId="0" fillId="0" borderId="0" xfId="0" applyNumberFormat="1"/>
    <xf numFmtId="0" fontId="3" fillId="0" borderId="34" xfId="0" applyFont="1" applyFill="1" applyBorder="1"/>
    <xf numFmtId="0" fontId="5" fillId="0" borderId="17" xfId="0" applyFont="1" applyFill="1" applyBorder="1" applyAlignment="1">
      <alignment horizontal="center"/>
    </xf>
    <xf numFmtId="44" fontId="5" fillId="0" borderId="17" xfId="1" applyFont="1" applyFill="1" applyBorder="1" applyAlignment="1">
      <alignment horizontal="center" vertical="center"/>
    </xf>
    <xf numFmtId="174" fontId="5" fillId="4" borderId="35" xfId="4" applyNumberFormat="1" applyFont="1" applyFill="1" applyBorder="1" applyAlignment="1">
      <alignment horizontal="right"/>
    </xf>
    <xf numFmtId="4" fontId="3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44" fontId="3" fillId="0" borderId="14" xfId="1" applyFont="1" applyFill="1" applyBorder="1" applyAlignment="1">
      <alignment horizontal="center" vertical="center"/>
    </xf>
    <xf numFmtId="3" fontId="3" fillId="4" borderId="22" xfId="4" applyNumberFormat="1" applyFont="1" applyFill="1" applyBorder="1" applyAlignment="1">
      <alignment horizontal="center" vertical="center"/>
    </xf>
    <xf numFmtId="173" fontId="9" fillId="0" borderId="2" xfId="4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right" vertical="center"/>
    </xf>
    <xf numFmtId="0" fontId="9" fillId="0" borderId="19" xfId="0" applyFont="1" applyFill="1" applyBorder="1" applyAlignment="1">
      <alignment horizontal="right" vertical="center"/>
    </xf>
    <xf numFmtId="10" fontId="0" fillId="0" borderId="0" xfId="0" applyNumberFormat="1"/>
    <xf numFmtId="44" fontId="0" fillId="0" borderId="0" xfId="0" applyNumberFormat="1"/>
    <xf numFmtId="0" fontId="9" fillId="4" borderId="20" xfId="0" applyFont="1" applyFill="1" applyBorder="1" applyAlignment="1">
      <alignment horizontal="center" vertical="center"/>
    </xf>
    <xf numFmtId="173" fontId="9" fillId="4" borderId="20" xfId="4" applyNumberFormat="1" applyFont="1" applyFill="1" applyBorder="1" applyAlignment="1">
      <alignment horizontal="center" vertical="center"/>
    </xf>
    <xf numFmtId="173" fontId="9" fillId="4" borderId="2" xfId="4" applyNumberFormat="1" applyFont="1" applyFill="1" applyBorder="1" applyAlignment="1">
      <alignment horizontal="center" vertical="center"/>
    </xf>
    <xf numFmtId="173" fontId="5" fillId="4" borderId="36" xfId="4" applyNumberFormat="1" applyFont="1" applyFill="1" applyBorder="1" applyAlignment="1">
      <alignment horizontal="center" vertical="center"/>
    </xf>
    <xf numFmtId="173" fontId="3" fillId="4" borderId="10" xfId="0" applyNumberFormat="1" applyFont="1" applyFill="1" applyBorder="1" applyAlignment="1">
      <alignment horizontal="center" vertical="center"/>
    </xf>
    <xf numFmtId="173" fontId="5" fillId="4" borderId="22" xfId="4" applyNumberFormat="1" applyFont="1" applyFill="1" applyBorder="1" applyAlignment="1">
      <alignment horizontal="center" vertical="center"/>
    </xf>
    <xf numFmtId="173" fontId="3" fillId="4" borderId="23" xfId="0" applyNumberFormat="1" applyFont="1" applyFill="1" applyBorder="1" applyAlignment="1">
      <alignment horizontal="center" vertical="center"/>
    </xf>
    <xf numFmtId="173" fontId="3" fillId="4" borderId="14" xfId="0" applyNumberFormat="1" applyFont="1" applyFill="1" applyBorder="1" applyAlignment="1">
      <alignment horizontal="center" vertical="center"/>
    </xf>
    <xf numFmtId="173" fontId="5" fillId="4" borderId="4" xfId="4" applyNumberFormat="1" applyFont="1" applyFill="1" applyBorder="1" applyAlignment="1">
      <alignment horizontal="center" vertical="center"/>
    </xf>
    <xf numFmtId="173" fontId="5" fillId="4" borderId="17" xfId="4" applyNumberFormat="1" applyFont="1" applyFill="1" applyBorder="1" applyAlignment="1">
      <alignment horizontal="center" vertical="center"/>
    </xf>
    <xf numFmtId="3" fontId="3" fillId="4" borderId="2" xfId="4" applyNumberFormat="1" applyFont="1" applyFill="1" applyBorder="1" applyAlignment="1">
      <alignment horizontal="center" vertical="center"/>
    </xf>
    <xf numFmtId="173" fontId="5" fillId="0" borderId="4" xfId="0" applyNumberFormat="1" applyFont="1" applyFill="1" applyBorder="1"/>
    <xf numFmtId="174" fontId="5" fillId="0" borderId="24" xfId="0" applyNumberFormat="1" applyFont="1" applyFill="1" applyBorder="1"/>
    <xf numFmtId="44" fontId="0" fillId="0" borderId="0" xfId="1" applyFont="1"/>
    <xf numFmtId="171" fontId="9" fillId="0" borderId="15" xfId="4" applyFont="1" applyFill="1" applyBorder="1" applyAlignment="1">
      <alignment horizontal="center" vertical="center"/>
    </xf>
    <xf numFmtId="44" fontId="3" fillId="4" borderId="29" xfId="1" applyFont="1" applyFill="1" applyBorder="1" applyAlignment="1">
      <alignment horizontal="center" vertical="center"/>
    </xf>
    <xf numFmtId="44" fontId="9" fillId="4" borderId="29" xfId="1" applyFont="1" applyFill="1" applyBorder="1" applyAlignment="1">
      <alignment horizontal="center" vertical="center"/>
    </xf>
    <xf numFmtId="174" fontId="5" fillId="4" borderId="24" xfId="4" applyNumberFormat="1" applyFont="1" applyFill="1" applyBorder="1" applyAlignment="1">
      <alignment horizontal="center"/>
    </xf>
    <xf numFmtId="44" fontId="3" fillId="4" borderId="26" xfId="1" applyFont="1" applyFill="1" applyBorder="1" applyAlignment="1">
      <alignment horizontal="center"/>
    </xf>
    <xf numFmtId="44" fontId="3" fillId="4" borderId="35" xfId="1" applyFont="1" applyFill="1" applyBorder="1" applyAlignment="1">
      <alignment horizontal="center" vertical="center"/>
    </xf>
    <xf numFmtId="2" fontId="9" fillId="0" borderId="2" xfId="4" applyNumberFormat="1" applyFont="1" applyFill="1" applyBorder="1" applyAlignment="1">
      <alignment horizontal="center" vertical="center"/>
    </xf>
    <xf numFmtId="2" fontId="9" fillId="0" borderId="14" xfId="4" applyNumberFormat="1" applyFont="1" applyFill="1" applyBorder="1" applyAlignment="1">
      <alignment horizontal="center" vertical="center"/>
    </xf>
    <xf numFmtId="2" fontId="9" fillId="0" borderId="15" xfId="4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3" fontId="9" fillId="3" borderId="14" xfId="4" applyNumberFormat="1" applyFont="1" applyFill="1" applyBorder="1" applyAlignment="1">
      <alignment horizontal="center" vertical="center"/>
    </xf>
    <xf numFmtId="3" fontId="9" fillId="3" borderId="2" xfId="4" applyNumberFormat="1" applyFont="1" applyFill="1" applyBorder="1" applyAlignment="1">
      <alignment horizontal="center" vertical="center"/>
    </xf>
    <xf numFmtId="3" fontId="9" fillId="3" borderId="17" xfId="4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 wrapText="1"/>
    </xf>
    <xf numFmtId="174" fontId="3" fillId="4" borderId="3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 wrapText="1"/>
    </xf>
    <xf numFmtId="3" fontId="9" fillId="3" borderId="16" xfId="4" applyNumberFormat="1" applyFont="1" applyFill="1" applyBorder="1" applyAlignment="1">
      <alignment horizontal="center" vertical="center"/>
    </xf>
    <xf numFmtId="4" fontId="9" fillId="0" borderId="14" xfId="4" applyNumberFormat="1" applyFont="1" applyFill="1" applyBorder="1" applyAlignment="1">
      <alignment horizontal="center" vertical="center"/>
    </xf>
    <xf numFmtId="4" fontId="9" fillId="0" borderId="2" xfId="4" applyNumberFormat="1" applyFont="1" applyFill="1" applyBorder="1" applyAlignment="1">
      <alignment horizontal="center" vertical="center"/>
    </xf>
    <xf numFmtId="176" fontId="0" fillId="0" borderId="0" xfId="0" applyNumberFormat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4" fontId="9" fillId="0" borderId="29" xfId="1" applyFont="1" applyFill="1" applyBorder="1" applyAlignment="1">
      <alignment horizontal="center" vertical="center"/>
    </xf>
    <xf numFmtId="174" fontId="9" fillId="3" borderId="29" xfId="4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4" fontId="8" fillId="0" borderId="4" xfId="1" applyFont="1" applyFill="1" applyBorder="1" applyAlignment="1">
      <alignment horizontal="center" vertical="center"/>
    </xf>
    <xf numFmtId="174" fontId="9" fillId="3" borderId="35" xfId="4" applyNumberFormat="1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/>
    </xf>
    <xf numFmtId="171" fontId="9" fillId="0" borderId="38" xfId="4" applyFont="1" applyFill="1" applyBorder="1" applyAlignment="1">
      <alignment horizontal="right" vertical="center"/>
    </xf>
    <xf numFmtId="44" fontId="9" fillId="3" borderId="37" xfId="1" applyFont="1" applyFill="1" applyBorder="1" applyAlignment="1">
      <alignment horizontal="right" vertical="center"/>
    </xf>
    <xf numFmtId="44" fontId="9" fillId="3" borderId="29" xfId="1" applyFont="1" applyFill="1" applyBorder="1" applyAlignment="1">
      <alignment horizontal="right" vertical="center"/>
    </xf>
    <xf numFmtId="171" fontId="9" fillId="3" borderId="29" xfId="4" applyFont="1" applyFill="1" applyBorder="1" applyAlignment="1">
      <alignment horizontal="right" vertical="center"/>
    </xf>
    <xf numFmtId="44" fontId="9" fillId="0" borderId="29" xfId="1" applyFont="1" applyFill="1" applyBorder="1" applyAlignment="1">
      <alignment vertical="center"/>
    </xf>
    <xf numFmtId="44" fontId="9" fillId="3" borderId="29" xfId="1" applyFont="1" applyFill="1" applyBorder="1" applyAlignment="1">
      <alignment vertical="center"/>
    </xf>
    <xf numFmtId="0" fontId="9" fillId="0" borderId="2" xfId="0" applyFont="1" applyFill="1" applyBorder="1" applyAlignment="1" applyProtection="1">
      <alignment vertical="center" wrapText="1"/>
    </xf>
    <xf numFmtId="171" fontId="9" fillId="0" borderId="4" xfId="4" applyFont="1" applyFill="1" applyBorder="1" applyAlignment="1">
      <alignment vertical="center"/>
    </xf>
    <xf numFmtId="176" fontId="9" fillId="0" borderId="4" xfId="4" applyNumberFormat="1" applyFont="1" applyFill="1" applyBorder="1" applyAlignment="1">
      <alignment vertical="center"/>
    </xf>
    <xf numFmtId="171" fontId="8" fillId="0" borderId="4" xfId="4" applyFont="1" applyFill="1" applyBorder="1" applyAlignment="1">
      <alignment horizontal="right" vertical="center"/>
    </xf>
    <xf numFmtId="44" fontId="8" fillId="0" borderId="24" xfId="1" applyFont="1" applyFill="1" applyBorder="1" applyAlignment="1">
      <alignment horizontal="right" vertical="center"/>
    </xf>
    <xf numFmtId="173" fontId="9" fillId="3" borderId="1" xfId="4" applyNumberFormat="1" applyFont="1" applyFill="1" applyBorder="1" applyAlignment="1">
      <alignment horizontal="right" vertical="center"/>
    </xf>
    <xf numFmtId="10" fontId="8" fillId="0" borderId="39" xfId="3" applyNumberFormat="1" applyFont="1" applyFill="1" applyBorder="1" applyAlignment="1">
      <alignment vertical="center"/>
    </xf>
    <xf numFmtId="44" fontId="8" fillId="0" borderId="39" xfId="1" applyFont="1" applyFill="1" applyBorder="1"/>
    <xf numFmtId="173" fontId="9" fillId="3" borderId="3" xfId="4" applyNumberFormat="1" applyFont="1" applyFill="1" applyBorder="1" applyAlignment="1">
      <alignment horizontal="right" vertical="center"/>
    </xf>
    <xf numFmtId="171" fontId="9" fillId="3" borderId="24" xfId="4" applyFont="1" applyFill="1" applyBorder="1" applyAlignment="1">
      <alignment horizontal="right" vertical="center"/>
    </xf>
    <xf numFmtId="3" fontId="9" fillId="3" borderId="19" xfId="4" applyNumberFormat="1" applyFont="1" applyFill="1" applyBorder="1" applyAlignment="1">
      <alignment horizontal="center" vertical="center"/>
    </xf>
    <xf numFmtId="3" fontId="9" fillId="3" borderId="20" xfId="4" applyNumberFormat="1" applyFont="1" applyFill="1" applyBorder="1" applyAlignment="1">
      <alignment horizontal="center" vertical="center"/>
    </xf>
    <xf numFmtId="3" fontId="9" fillId="3" borderId="22" xfId="4" applyNumberFormat="1" applyFont="1" applyFill="1" applyBorder="1" applyAlignment="1">
      <alignment horizontal="center" vertical="center"/>
    </xf>
    <xf numFmtId="3" fontId="9" fillId="0" borderId="16" xfId="4" applyNumberFormat="1" applyFont="1" applyFill="1" applyBorder="1" applyAlignment="1">
      <alignment horizontal="center" vertical="center"/>
    </xf>
    <xf numFmtId="173" fontId="9" fillId="3" borderId="20" xfId="4" applyNumberFormat="1" applyFont="1" applyFill="1" applyBorder="1" applyAlignment="1">
      <alignment horizontal="right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44" fontId="8" fillId="0" borderId="40" xfId="1" applyFont="1" applyFill="1" applyBorder="1" applyAlignment="1">
      <alignment vertical="center"/>
    </xf>
    <xf numFmtId="11" fontId="8" fillId="0" borderId="2" xfId="0" applyNumberFormat="1" applyFont="1" applyFill="1" applyBorder="1" applyAlignment="1">
      <alignment vertical="center"/>
    </xf>
    <xf numFmtId="0" fontId="8" fillId="0" borderId="23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vertical="center"/>
    </xf>
    <xf numFmtId="0" fontId="9" fillId="0" borderId="23" xfId="0" applyFont="1" applyFill="1" applyBorder="1" applyAlignment="1">
      <alignment horizontal="center" vertical="center"/>
    </xf>
    <xf numFmtId="2" fontId="9" fillId="0" borderId="23" xfId="0" applyNumberFormat="1" applyFont="1" applyFill="1" applyBorder="1" applyAlignment="1">
      <alignment vertical="center"/>
    </xf>
    <xf numFmtId="2" fontId="9" fillId="0" borderId="23" xfId="0" applyNumberFormat="1" applyFont="1" applyFill="1" applyBorder="1" applyAlignment="1">
      <alignment horizontal="right" vertical="center"/>
    </xf>
    <xf numFmtId="0" fontId="9" fillId="0" borderId="23" xfId="0" applyFont="1" applyFill="1" applyBorder="1" applyAlignment="1">
      <alignment horizontal="right" vertical="center"/>
    </xf>
    <xf numFmtId="0" fontId="9" fillId="0" borderId="26" xfId="0" applyFont="1" applyFill="1" applyBorder="1" applyAlignment="1">
      <alignment horizontal="right" vertical="center"/>
    </xf>
    <xf numFmtId="44" fontId="8" fillId="0" borderId="29" xfId="1" applyFont="1" applyFill="1" applyBorder="1" applyAlignment="1">
      <alignment horizontal="center" vertical="center"/>
    </xf>
    <xf numFmtId="171" fontId="9" fillId="0" borderId="29" xfId="4" applyFont="1" applyFill="1" applyBorder="1" applyAlignment="1">
      <alignment horizontal="right" vertical="center"/>
    </xf>
    <xf numFmtId="0" fontId="9" fillId="3" borderId="37" xfId="0" applyFont="1" applyFill="1" applyBorder="1" applyAlignment="1">
      <alignment vertical="center"/>
    </xf>
    <xf numFmtId="3" fontId="9" fillId="3" borderId="16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2" fontId="3" fillId="0" borderId="14" xfId="4" applyNumberFormat="1" applyFont="1" applyFill="1" applyBorder="1" applyAlignment="1">
      <alignment horizontal="center" vertical="center"/>
    </xf>
    <xf numFmtId="2" fontId="3" fillId="0" borderId="2" xfId="4" applyNumberFormat="1" applyFont="1" applyFill="1" applyBorder="1" applyAlignment="1">
      <alignment horizontal="center" vertical="center"/>
    </xf>
    <xf numFmtId="171" fontId="3" fillId="0" borderId="14" xfId="4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171" fontId="3" fillId="0" borderId="18" xfId="4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2" fontId="3" fillId="0" borderId="17" xfId="4" applyNumberFormat="1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2" fontId="9" fillId="0" borderId="2" xfId="0" applyNumberFormat="1" applyFont="1" applyFill="1" applyBorder="1" applyAlignment="1">
      <alignment vertical="center"/>
    </xf>
    <xf numFmtId="2" fontId="9" fillId="0" borderId="2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right" vertical="center"/>
    </xf>
    <xf numFmtId="44" fontId="9" fillId="0" borderId="15" xfId="1" applyFont="1" applyFill="1" applyBorder="1" applyAlignment="1">
      <alignment horizontal="center" vertical="center"/>
    </xf>
    <xf numFmtId="3" fontId="9" fillId="3" borderId="1" xfId="4" applyNumberFormat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/>
    </xf>
    <xf numFmtId="171" fontId="9" fillId="0" borderId="18" xfId="4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left" vertical="center"/>
    </xf>
    <xf numFmtId="4" fontId="9" fillId="0" borderId="17" xfId="4" applyNumberFormat="1" applyFont="1" applyFill="1" applyBorder="1" applyAlignment="1">
      <alignment horizontal="center" vertical="center"/>
    </xf>
    <xf numFmtId="171" fontId="9" fillId="0" borderId="4" xfId="4" applyFont="1" applyFill="1" applyBorder="1" applyAlignment="1">
      <alignment horizontal="center" vertical="center"/>
    </xf>
    <xf numFmtId="44" fontId="9" fillId="0" borderId="4" xfId="1" applyFont="1" applyFill="1" applyBorder="1" applyAlignment="1">
      <alignment horizontal="center" vertical="center"/>
    </xf>
    <xf numFmtId="44" fontId="8" fillId="0" borderId="41" xfId="1" applyFont="1" applyFill="1" applyBorder="1" applyAlignment="1">
      <alignment horizontal="center" vertical="center"/>
    </xf>
    <xf numFmtId="11" fontId="8" fillId="0" borderId="23" xfId="0" applyNumberFormat="1" applyFont="1" applyFill="1" applyBorder="1" applyAlignment="1">
      <alignment vertical="center"/>
    </xf>
    <xf numFmtId="171" fontId="9" fillId="0" borderId="23" xfId="4" applyFont="1" applyFill="1" applyBorder="1" applyAlignment="1">
      <alignment horizontal="center" vertical="center"/>
    </xf>
    <xf numFmtId="171" fontId="9" fillId="0" borderId="23" xfId="4" applyFont="1" applyFill="1" applyBorder="1" applyAlignment="1">
      <alignment vertical="center"/>
    </xf>
    <xf numFmtId="171" fontId="9" fillId="0" borderId="23" xfId="4" applyFont="1" applyFill="1" applyBorder="1" applyAlignment="1">
      <alignment horizontal="right" vertical="center"/>
    </xf>
    <xf numFmtId="171" fontId="9" fillId="0" borderId="42" xfId="4" applyFont="1" applyFill="1" applyBorder="1" applyAlignment="1">
      <alignment horizontal="right" vertical="center"/>
    </xf>
    <xf numFmtId="3" fontId="9" fillId="0" borderId="1" xfId="4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3" fontId="9" fillId="3" borderId="1" xfId="4" applyNumberFormat="1" applyFont="1" applyFill="1" applyBorder="1" applyAlignment="1">
      <alignment horizontal="center"/>
    </xf>
    <xf numFmtId="2" fontId="9" fillId="0" borderId="4" xfId="4" applyNumberFormat="1" applyFont="1" applyFill="1" applyBorder="1" applyAlignment="1">
      <alignment horizontal="center" vertical="center"/>
    </xf>
    <xf numFmtId="44" fontId="9" fillId="0" borderId="15" xfId="1" applyFont="1" applyFill="1" applyBorder="1" applyAlignment="1">
      <alignment vertical="center"/>
    </xf>
    <xf numFmtId="2" fontId="9" fillId="0" borderId="17" xfId="4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wrapText="1"/>
    </xf>
    <xf numFmtId="0" fontId="9" fillId="0" borderId="2" xfId="0" applyFont="1" applyFill="1" applyBorder="1" applyAlignment="1">
      <alignment vertical="center" wrapText="1"/>
    </xf>
    <xf numFmtId="173" fontId="9" fillId="3" borderId="1" xfId="4" applyNumberFormat="1" applyFont="1" applyFill="1" applyBorder="1" applyAlignment="1">
      <alignment horizontal="right"/>
    </xf>
    <xf numFmtId="44" fontId="8" fillId="0" borderId="43" xfId="1" applyFont="1" applyFill="1" applyBorder="1" applyAlignment="1">
      <alignment vertical="center"/>
    </xf>
    <xf numFmtId="10" fontId="8" fillId="0" borderId="44" xfId="3" applyNumberFormat="1" applyFont="1" applyFill="1" applyBorder="1" applyAlignment="1">
      <alignment vertical="center"/>
    </xf>
    <xf numFmtId="44" fontId="8" fillId="0" borderId="44" xfId="1" applyFont="1" applyFill="1" applyBorder="1"/>
    <xf numFmtId="0" fontId="13" fillId="0" borderId="0" xfId="0" applyFont="1" applyAlignment="1">
      <alignment horizontal="justify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0" fontId="0" fillId="0" borderId="2" xfId="3" applyNumberFormat="1" applyFont="1" applyBorder="1" applyAlignment="1">
      <alignment horizontal="center"/>
    </xf>
    <xf numFmtId="10" fontId="0" fillId="0" borderId="2" xfId="3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0" fillId="0" borderId="1" xfId="0" applyBorder="1"/>
    <xf numFmtId="0" fontId="0" fillId="0" borderId="29" xfId="0" applyBorder="1" applyAlignment="1">
      <alignment horizontal="center" vertical="center"/>
    </xf>
    <xf numFmtId="0" fontId="1" fillId="0" borderId="1" xfId="2" applyFont="1" applyBorder="1" applyAlignment="1" applyProtection="1">
      <alignment vertical="center" wrapText="1"/>
    </xf>
    <xf numFmtId="10" fontId="0" fillId="0" borderId="29" xfId="3" applyNumberFormat="1" applyFont="1" applyBorder="1" applyAlignment="1">
      <alignment horizontal="center" vertical="center"/>
    </xf>
    <xf numFmtId="0" fontId="1" fillId="0" borderId="1" xfId="2" applyFont="1" applyBorder="1" applyAlignment="1" applyProtection="1">
      <alignment vertical="center"/>
    </xf>
    <xf numFmtId="10" fontId="14" fillId="0" borderId="4" xfId="3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0" fontId="0" fillId="0" borderId="4" xfId="3" applyNumberFormat="1" applyFont="1" applyBorder="1" applyAlignment="1">
      <alignment horizontal="center" vertical="center"/>
    </xf>
    <xf numFmtId="10" fontId="0" fillId="0" borderId="24" xfId="3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20" xfId="0" applyFont="1" applyFill="1" applyBorder="1" applyAlignment="1">
      <alignment horizontal="right" vertical="center"/>
    </xf>
    <xf numFmtId="17" fontId="9" fillId="3" borderId="20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 applyProtection="1">
      <alignment horizontal="left" vertical="center" wrapText="1"/>
    </xf>
    <xf numFmtId="44" fontId="9" fillId="3" borderId="14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44" fontId="9" fillId="3" borderId="2" xfId="1" applyFont="1" applyFill="1" applyBorder="1" applyAlignment="1">
      <alignment horizontal="center" vertical="center"/>
    </xf>
    <xf numFmtId="44" fontId="9" fillId="3" borderId="17" xfId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44" fontId="9" fillId="0" borderId="17" xfId="1" applyFont="1" applyFill="1" applyBorder="1" applyAlignment="1">
      <alignment horizontal="right" vertical="center"/>
    </xf>
    <xf numFmtId="44" fontId="8" fillId="0" borderId="21" xfId="1" applyFont="1" applyFill="1" applyBorder="1" applyAlignment="1">
      <alignment horizontal="right" vertical="center"/>
    </xf>
    <xf numFmtId="171" fontId="9" fillId="3" borderId="2" xfId="4" applyFont="1" applyFill="1" applyBorder="1" applyAlignment="1">
      <alignment horizontal="right"/>
    </xf>
    <xf numFmtId="0" fontId="9" fillId="0" borderId="21" xfId="0" applyFont="1" applyFill="1" applyBorder="1" applyAlignment="1">
      <alignment horizontal="center" vertical="center"/>
    </xf>
    <xf numFmtId="171" fontId="8" fillId="0" borderId="45" xfId="4" applyFont="1" applyFill="1" applyBorder="1" applyAlignment="1">
      <alignment vertical="center"/>
    </xf>
    <xf numFmtId="44" fontId="8" fillId="0" borderId="46" xfId="1" applyFont="1" applyFill="1" applyBorder="1" applyAlignment="1">
      <alignment vertical="center"/>
    </xf>
    <xf numFmtId="171" fontId="8" fillId="0" borderId="0" xfId="4" applyFont="1" applyFill="1" applyBorder="1" applyAlignment="1">
      <alignment vertical="center"/>
    </xf>
    <xf numFmtId="10" fontId="8" fillId="0" borderId="9" xfId="3" applyNumberFormat="1" applyFont="1" applyFill="1" applyBorder="1" applyAlignment="1">
      <alignment vertical="center"/>
    </xf>
    <xf numFmtId="0" fontId="9" fillId="0" borderId="47" xfId="0" applyFont="1" applyFill="1" applyBorder="1"/>
    <xf numFmtId="0" fontId="9" fillId="0" borderId="44" xfId="0" applyFont="1" applyFill="1" applyBorder="1"/>
    <xf numFmtId="44" fontId="8" fillId="0" borderId="8" xfId="1" applyFont="1" applyFill="1" applyBorder="1"/>
    <xf numFmtId="0" fontId="9" fillId="0" borderId="2" xfId="0" applyFont="1" applyFill="1" applyBorder="1"/>
    <xf numFmtId="44" fontId="8" fillId="0" borderId="21" xfId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3" fontId="3" fillId="3" borderId="1" xfId="4" applyNumberFormat="1" applyFont="1" applyFill="1" applyBorder="1" applyAlignment="1">
      <alignment horizontal="center" vertical="center"/>
    </xf>
    <xf numFmtId="174" fontId="3" fillId="3" borderId="29" xfId="4" applyNumberFormat="1" applyFont="1" applyFill="1" applyBorder="1" applyAlignment="1">
      <alignment horizontal="right" vertical="center"/>
    </xf>
    <xf numFmtId="44" fontId="3" fillId="0" borderId="15" xfId="1" applyFont="1" applyFill="1" applyBorder="1" applyAlignment="1">
      <alignment horizontal="center" vertical="center"/>
    </xf>
    <xf numFmtId="44" fontId="3" fillId="3" borderId="29" xfId="1" applyFont="1" applyFill="1" applyBorder="1" applyAlignment="1">
      <alignment horizontal="right" vertical="center"/>
    </xf>
    <xf numFmtId="44" fontId="3" fillId="3" borderId="29" xfId="1" applyFont="1" applyFill="1" applyBorder="1" applyAlignment="1">
      <alignment vertical="center"/>
    </xf>
    <xf numFmtId="0" fontId="8" fillId="0" borderId="31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vertical="center"/>
    </xf>
    <xf numFmtId="0" fontId="9" fillId="0" borderId="30" xfId="0" applyFont="1" applyFill="1" applyBorder="1" applyAlignment="1">
      <alignment horizontal="center" vertical="center"/>
    </xf>
    <xf numFmtId="2" fontId="9" fillId="0" borderId="30" xfId="0" applyNumberFormat="1" applyFont="1" applyFill="1" applyBorder="1" applyAlignment="1">
      <alignment vertical="center"/>
    </xf>
    <xf numFmtId="2" fontId="9" fillId="0" borderId="30" xfId="0" applyNumberFormat="1" applyFont="1" applyFill="1" applyBorder="1" applyAlignment="1">
      <alignment horizontal="right" vertical="center"/>
    </xf>
    <xf numFmtId="0" fontId="9" fillId="0" borderId="30" xfId="0" applyFont="1" applyFill="1" applyBorder="1" applyAlignment="1">
      <alignment horizontal="right" vertical="center"/>
    </xf>
    <xf numFmtId="4" fontId="3" fillId="0" borderId="0" xfId="0" applyNumberFormat="1" applyFont="1" applyAlignment="1">
      <alignment horizontal="center"/>
    </xf>
    <xf numFmtId="4" fontId="3" fillId="0" borderId="17" xfId="4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17" fontId="5" fillId="0" borderId="48" xfId="0" applyNumberFormat="1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4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8" fillId="0" borderId="50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4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/>
    </xf>
    <xf numFmtId="17" fontId="9" fillId="3" borderId="25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8" fillId="0" borderId="5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</cellXfs>
  <cellStyles count="5">
    <cellStyle name="Moeda" xfId="1" builtinId="4"/>
    <cellStyle name="Normal" xfId="0" builtinId="0"/>
    <cellStyle name="Normal 2" xfId="2" xr:uid="{B186F81C-9569-4890-AAF4-CE04B06C0275}"/>
    <cellStyle name="Porcentagem" xfId="3" builtinId="5"/>
    <cellStyle name="Vírgula" xfId="4" builtinId="3"/>
  </cellStyles>
  <dxfs count="31"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1889760</xdr:colOff>
      <xdr:row>0</xdr:row>
      <xdr:rowOff>30480</xdr:rowOff>
    </xdr:from>
    <xdr:to>
      <xdr:col>8</xdr:col>
      <xdr:colOff>1005840</xdr:colOff>
      <xdr:row>0</xdr:row>
      <xdr:rowOff>1684020</xdr:rowOff>
    </xdr:to>
    <xdr:pic>
      <xdr:nvPicPr>
        <xdr:cNvPr id="1066" name="Figura1">
          <a:extLst>
            <a:ext uri="{FF2B5EF4-FFF2-40B4-BE49-F238E27FC236}">
              <a16:creationId xmlns:a16="http://schemas.microsoft.com/office/drawing/2014/main" id="{873F7EDC-0FDD-5EFE-1CD8-112CA8D3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" y="30480"/>
          <a:ext cx="6598920" cy="1653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8644B-2626-44AF-A546-9D6837EB3525}">
  <dimension ref="A1:K49"/>
  <sheetViews>
    <sheetView tabSelected="1" topLeftCell="A22" zoomScaleNormal="100" zoomScaleSheetLayoutView="75" workbookViewId="0">
      <selection activeCell="A3" sqref="A3:K3"/>
    </sheetView>
  </sheetViews>
  <sheetFormatPr defaultRowHeight="13.2" x14ac:dyDescent="0.25"/>
  <cols>
    <col min="1" max="1" width="7.109375" customWidth="1"/>
    <col min="2" max="2" width="33.33203125" customWidth="1"/>
    <col min="3" max="3" width="9" bestFit="1" customWidth="1"/>
    <col min="4" max="4" width="7.6640625" customWidth="1"/>
    <col min="5" max="5" width="13.33203125" customWidth="1"/>
    <col min="6" max="6" width="16.109375" bestFit="1" customWidth="1"/>
    <col min="7" max="7" width="13.5546875" bestFit="1" customWidth="1"/>
    <col min="8" max="9" width="16.109375" bestFit="1" customWidth="1"/>
    <col min="10" max="10" width="13.6640625" customWidth="1"/>
    <col min="11" max="11" width="14.44140625" customWidth="1"/>
  </cols>
  <sheetData>
    <row r="1" spans="1:11" ht="138" customHeight="1" thickBot="1" x14ac:dyDescent="0.3">
      <c r="A1" s="7"/>
      <c r="C1" s="8"/>
      <c r="D1" s="8"/>
      <c r="E1" s="8"/>
      <c r="F1" s="7"/>
      <c r="G1" s="7"/>
      <c r="H1" s="7"/>
      <c r="I1" s="7"/>
      <c r="J1" s="7"/>
      <c r="K1" s="7"/>
    </row>
    <row r="2" spans="1:11" ht="16.5" customHeight="1" x14ac:dyDescent="0.25">
      <c r="A2" s="409" t="s">
        <v>216</v>
      </c>
      <c r="B2" s="410"/>
      <c r="C2" s="410"/>
      <c r="D2" s="410"/>
      <c r="E2" s="410"/>
      <c r="F2" s="410"/>
      <c r="G2" s="410"/>
      <c r="H2" s="410"/>
      <c r="I2" s="410"/>
      <c r="J2" s="410"/>
      <c r="K2" s="411"/>
    </row>
    <row r="3" spans="1:11" ht="17.25" customHeight="1" x14ac:dyDescent="0.25">
      <c r="A3" s="412" t="s">
        <v>247</v>
      </c>
      <c r="B3" s="413"/>
      <c r="C3" s="413"/>
      <c r="D3" s="413"/>
      <c r="E3" s="413"/>
      <c r="F3" s="413"/>
      <c r="G3" s="413"/>
      <c r="H3" s="413"/>
      <c r="I3" s="413"/>
      <c r="J3" s="413"/>
      <c r="K3" s="414"/>
    </row>
    <row r="4" spans="1:11" ht="18" customHeight="1" x14ac:dyDescent="0.25">
      <c r="A4" s="412" t="s">
        <v>245</v>
      </c>
      <c r="B4" s="413"/>
      <c r="C4" s="413" t="s">
        <v>37</v>
      </c>
      <c r="D4" s="413"/>
      <c r="E4" s="413"/>
      <c r="F4" s="413"/>
      <c r="G4" s="413"/>
      <c r="H4" s="413"/>
      <c r="I4" s="413"/>
      <c r="J4" s="413"/>
      <c r="K4" s="414"/>
    </row>
    <row r="5" spans="1:11" ht="18" customHeight="1" thickBot="1" x14ac:dyDescent="0.3">
      <c r="A5" s="400" t="s">
        <v>243</v>
      </c>
      <c r="B5" s="401"/>
      <c r="C5" s="401"/>
      <c r="D5" s="401"/>
      <c r="E5" s="401"/>
      <c r="F5" s="401"/>
      <c r="G5" s="401"/>
      <c r="H5" s="401"/>
      <c r="I5" s="401"/>
      <c r="J5" s="401"/>
      <c r="K5" s="402"/>
    </row>
    <row r="6" spans="1:11" ht="18" customHeight="1" thickBot="1" x14ac:dyDescent="0.3">
      <c r="A6" s="415" t="s">
        <v>24</v>
      </c>
      <c r="B6" s="416"/>
      <c r="C6" s="416"/>
      <c r="D6" s="416"/>
      <c r="E6" s="416"/>
      <c r="F6" s="416"/>
      <c r="G6" s="416"/>
      <c r="H6" s="416"/>
      <c r="I6" s="416"/>
      <c r="J6" s="416"/>
      <c r="K6" s="417"/>
    </row>
    <row r="7" spans="1:11" ht="21" customHeight="1" thickBot="1" x14ac:dyDescent="0.3">
      <c r="A7" s="422" t="s">
        <v>0</v>
      </c>
      <c r="B7" s="403" t="s">
        <v>40</v>
      </c>
      <c r="C7" s="403" t="s">
        <v>1</v>
      </c>
      <c r="D7" s="403" t="s">
        <v>2</v>
      </c>
      <c r="E7" s="405" t="s">
        <v>38</v>
      </c>
      <c r="F7" s="406"/>
      <c r="G7" s="407" t="s">
        <v>39</v>
      </c>
      <c r="H7" s="408"/>
      <c r="I7" s="403" t="s">
        <v>4</v>
      </c>
      <c r="J7" s="418" t="s">
        <v>244</v>
      </c>
      <c r="K7" s="418" t="s">
        <v>26</v>
      </c>
    </row>
    <row r="8" spans="1:11" ht="21" customHeight="1" thickBot="1" x14ac:dyDescent="0.3">
      <c r="A8" s="419"/>
      <c r="B8" s="404"/>
      <c r="C8" s="404"/>
      <c r="D8" s="404"/>
      <c r="E8" s="19" t="s">
        <v>3</v>
      </c>
      <c r="F8" s="19" t="s">
        <v>4</v>
      </c>
      <c r="G8" s="19" t="s">
        <v>3</v>
      </c>
      <c r="H8" s="19" t="s">
        <v>4</v>
      </c>
      <c r="I8" s="404"/>
      <c r="J8" s="419"/>
      <c r="K8" s="419"/>
    </row>
    <row r="9" spans="1:11" ht="14.1" customHeight="1" x14ac:dyDescent="0.25">
      <c r="A9" s="131" t="s">
        <v>33</v>
      </c>
      <c r="B9" s="119" t="s">
        <v>18</v>
      </c>
      <c r="C9" s="120"/>
      <c r="D9" s="121"/>
      <c r="E9" s="122"/>
      <c r="F9" s="123"/>
      <c r="G9" s="122"/>
      <c r="H9" s="124"/>
      <c r="I9" s="124"/>
      <c r="J9" s="42"/>
      <c r="K9" s="43"/>
    </row>
    <row r="10" spans="1:11" ht="14.1" customHeight="1" x14ac:dyDescent="0.25">
      <c r="A10" s="130" t="s">
        <v>5</v>
      </c>
      <c r="B10" s="30" t="s">
        <v>14</v>
      </c>
      <c r="C10" s="16">
        <v>10</v>
      </c>
      <c r="D10" s="17" t="s">
        <v>16</v>
      </c>
      <c r="E10" s="153">
        <v>313.02999999999997</v>
      </c>
      <c r="F10" s="32">
        <f>SUM(C10*E10)</f>
        <v>3130.2999999999997</v>
      </c>
      <c r="G10" s="153">
        <v>98.85</v>
      </c>
      <c r="H10" s="32">
        <f>SUM(C10*G10)</f>
        <v>988.5</v>
      </c>
      <c r="I10" s="32">
        <f>SUM(F10+H10)</f>
        <v>4118.7999999999993</v>
      </c>
      <c r="J10" s="219" t="s">
        <v>92</v>
      </c>
      <c r="K10" s="234">
        <v>313.02999999999997</v>
      </c>
    </row>
    <row r="11" spans="1:11" ht="14.1" customHeight="1" x14ac:dyDescent="0.25">
      <c r="A11" s="130" t="s">
        <v>13</v>
      </c>
      <c r="B11" s="30" t="s">
        <v>22</v>
      </c>
      <c r="C11" s="16">
        <v>2.5</v>
      </c>
      <c r="D11" s="17" t="s">
        <v>16</v>
      </c>
      <c r="E11" s="153">
        <v>220.13</v>
      </c>
      <c r="F11" s="32">
        <f>SUM(C11*E11)</f>
        <v>550.32500000000005</v>
      </c>
      <c r="G11" s="153">
        <v>69.510000000000005</v>
      </c>
      <c r="H11" s="32">
        <f>SUM(C11*G11)</f>
        <v>173.77500000000001</v>
      </c>
      <c r="I11" s="32">
        <f>SUM(F11+H11)</f>
        <v>724.1</v>
      </c>
      <c r="J11" s="220" t="s">
        <v>27</v>
      </c>
      <c r="K11" s="234">
        <v>220.13</v>
      </c>
    </row>
    <row r="12" spans="1:11" ht="14.1" customHeight="1" x14ac:dyDescent="0.25">
      <c r="A12" s="130" t="s">
        <v>20</v>
      </c>
      <c r="B12" s="30" t="s">
        <v>15</v>
      </c>
      <c r="C12" s="16">
        <v>240</v>
      </c>
      <c r="D12" s="17" t="s">
        <v>16</v>
      </c>
      <c r="E12" s="153">
        <v>7.57</v>
      </c>
      <c r="F12" s="32">
        <f>SUM(C12*E12)</f>
        <v>1816.8000000000002</v>
      </c>
      <c r="G12" s="153">
        <v>2.39</v>
      </c>
      <c r="H12" s="32">
        <f>SUM(C12*G12)</f>
        <v>573.6</v>
      </c>
      <c r="I12" s="32">
        <f>SUM(F12+H12)</f>
        <v>2390.4</v>
      </c>
      <c r="J12" s="221" t="s">
        <v>93</v>
      </c>
      <c r="K12" s="234">
        <v>7.57</v>
      </c>
    </row>
    <row r="13" spans="1:11" ht="14.1" customHeight="1" x14ac:dyDescent="0.25">
      <c r="A13" s="130" t="s">
        <v>46</v>
      </c>
      <c r="B13" s="248" t="s">
        <v>94</v>
      </c>
      <c r="C13" s="132">
        <v>1</v>
      </c>
      <c r="D13" s="133" t="s">
        <v>95</v>
      </c>
      <c r="E13" s="154">
        <v>0</v>
      </c>
      <c r="F13" s="32">
        <f>SUM(C13*E13)</f>
        <v>0</v>
      </c>
      <c r="G13" s="154">
        <v>26004.85</v>
      </c>
      <c r="H13" s="134">
        <f>SUM(C13*G13)</f>
        <v>26004.85</v>
      </c>
      <c r="I13" s="32">
        <f>SUM(F13+H13)</f>
        <v>26004.85</v>
      </c>
      <c r="J13" s="226" t="s">
        <v>102</v>
      </c>
      <c r="K13" s="238"/>
    </row>
    <row r="14" spans="1:11" ht="14.1" customHeight="1" thickBot="1" x14ac:dyDescent="0.3">
      <c r="A14" s="44"/>
      <c r="B14" s="45" t="s">
        <v>7</v>
      </c>
      <c r="C14" s="125"/>
      <c r="D14" s="126"/>
      <c r="E14" s="127"/>
      <c r="F14" s="128">
        <f>SUM(F10:F13)</f>
        <v>5497.4250000000002</v>
      </c>
      <c r="G14" s="127"/>
      <c r="H14" s="128">
        <f>SUM(H10:H13)</f>
        <v>27740.724999999999</v>
      </c>
      <c r="I14" s="128">
        <f>SUM(I10:I13)</f>
        <v>33238.149999999994</v>
      </c>
      <c r="J14" s="222"/>
      <c r="K14" s="129"/>
    </row>
    <row r="15" spans="1:11" ht="14.1" customHeight="1" x14ac:dyDescent="0.25">
      <c r="A15" s="131" t="s">
        <v>34</v>
      </c>
      <c r="B15" s="135" t="s">
        <v>103</v>
      </c>
      <c r="C15" s="136"/>
      <c r="D15" s="137"/>
      <c r="E15" s="138"/>
      <c r="F15" s="138"/>
      <c r="G15" s="138"/>
      <c r="H15" s="138"/>
      <c r="I15" s="138"/>
      <c r="J15" s="223"/>
      <c r="K15" s="139"/>
    </row>
    <row r="16" spans="1:11" ht="27.6" x14ac:dyDescent="0.25">
      <c r="A16" s="130" t="s">
        <v>6</v>
      </c>
      <c r="B16" s="30" t="s">
        <v>152</v>
      </c>
      <c r="C16" s="16">
        <v>119.6</v>
      </c>
      <c r="D16" s="17" t="s">
        <v>8</v>
      </c>
      <c r="E16" s="118">
        <v>9.32</v>
      </c>
      <c r="F16" s="32">
        <f>SUM(C16*E16)</f>
        <v>1114.672</v>
      </c>
      <c r="G16" s="153">
        <v>2.95</v>
      </c>
      <c r="H16" s="32">
        <f>SUM(C16*G16)</f>
        <v>352.82</v>
      </c>
      <c r="I16" s="32">
        <f>SUM(F16+H16)</f>
        <v>1467.492</v>
      </c>
      <c r="J16" s="213">
        <v>72915</v>
      </c>
      <c r="K16" s="235">
        <v>9.8800000000000008</v>
      </c>
    </row>
    <row r="17" spans="1:11" ht="27.6" x14ac:dyDescent="0.25">
      <c r="A17" s="130" t="s">
        <v>11</v>
      </c>
      <c r="B17" s="30" t="s">
        <v>144</v>
      </c>
      <c r="C17" s="16">
        <v>23.5</v>
      </c>
      <c r="D17" s="17" t="s">
        <v>8</v>
      </c>
      <c r="E17" s="118">
        <v>10.66</v>
      </c>
      <c r="F17" s="32">
        <f>SUM(C17*E17)</f>
        <v>250.51</v>
      </c>
      <c r="G17" s="153">
        <v>3.37</v>
      </c>
      <c r="H17" s="32">
        <f>SUM(C17*G17)</f>
        <v>79.195000000000007</v>
      </c>
      <c r="I17" s="32">
        <f>SUM(F17+H17)</f>
        <v>329.70499999999998</v>
      </c>
      <c r="J17" s="213">
        <v>72917</v>
      </c>
      <c r="K17" s="235">
        <v>11.29</v>
      </c>
    </row>
    <row r="18" spans="1:11" ht="14.1" customHeight="1" thickBot="1" x14ac:dyDescent="0.3">
      <c r="A18" s="206"/>
      <c r="B18" s="207" t="s">
        <v>7</v>
      </c>
      <c r="C18" s="132"/>
      <c r="D18" s="133"/>
      <c r="E18" s="134"/>
      <c r="F18" s="208">
        <f>SUM(F16:F17)</f>
        <v>1365.182</v>
      </c>
      <c r="G18" s="134"/>
      <c r="H18" s="208">
        <f>SUM(H16:H17)</f>
        <v>432.01499999999999</v>
      </c>
      <c r="I18" s="208">
        <f>SUM(I16:I17)</f>
        <v>1797.1969999999999</v>
      </c>
      <c r="J18" s="224"/>
      <c r="K18" s="209"/>
    </row>
    <row r="19" spans="1:11" ht="14.1" customHeight="1" x14ac:dyDescent="0.25">
      <c r="A19" s="131" t="s">
        <v>35</v>
      </c>
      <c r="B19" s="135" t="s">
        <v>104</v>
      </c>
      <c r="C19" s="136"/>
      <c r="D19" s="137"/>
      <c r="E19" s="138"/>
      <c r="F19" s="138"/>
      <c r="G19" s="138"/>
      <c r="H19" s="138"/>
      <c r="I19" s="138"/>
      <c r="J19" s="225"/>
      <c r="K19" s="139"/>
    </row>
    <row r="20" spans="1:11" ht="13.8" x14ac:dyDescent="0.25">
      <c r="A20" s="10" t="s">
        <v>12</v>
      </c>
      <c r="B20" s="246" t="s">
        <v>150</v>
      </c>
      <c r="C20" s="210">
        <v>201</v>
      </c>
      <c r="D20" s="211" t="s">
        <v>10</v>
      </c>
      <c r="E20" s="212">
        <v>62.08</v>
      </c>
      <c r="F20" s="212">
        <f>SUM(C20*E20)</f>
        <v>12478.08</v>
      </c>
      <c r="G20" s="212">
        <v>19.600000000000001</v>
      </c>
      <c r="H20" s="212">
        <f>SUM(C20*G20)</f>
        <v>3939.6000000000004</v>
      </c>
      <c r="I20" s="32">
        <f>SUM(F20+H20)</f>
        <v>16417.68</v>
      </c>
      <c r="J20" s="226" t="s">
        <v>135</v>
      </c>
      <c r="K20" s="247">
        <v>65.75</v>
      </c>
    </row>
    <row r="21" spans="1:11" ht="13.8" x14ac:dyDescent="0.25">
      <c r="A21" s="10" t="s">
        <v>19</v>
      </c>
      <c r="B21" s="246" t="s">
        <v>151</v>
      </c>
      <c r="C21" s="210">
        <v>201</v>
      </c>
      <c r="D21" s="211" t="s">
        <v>10</v>
      </c>
      <c r="E21" s="212">
        <v>89.14</v>
      </c>
      <c r="F21" s="212">
        <f>SUM(C21*E21)</f>
        <v>17917.14</v>
      </c>
      <c r="G21" s="212">
        <v>21.97</v>
      </c>
      <c r="H21" s="212">
        <f>SUM(C21*G21)</f>
        <v>4415.9699999999993</v>
      </c>
      <c r="I21" s="32">
        <f>SUM(F21+H21)</f>
        <v>22333.11</v>
      </c>
      <c r="J21" s="226" t="s">
        <v>120</v>
      </c>
      <c r="K21" s="247">
        <v>89.14</v>
      </c>
    </row>
    <row r="22" spans="1:11" ht="14.1" customHeight="1" x14ac:dyDescent="0.25">
      <c r="A22" s="10" t="s">
        <v>119</v>
      </c>
      <c r="B22" s="30" t="s">
        <v>141</v>
      </c>
      <c r="C22" s="16">
        <v>10</v>
      </c>
      <c r="D22" s="17" t="s">
        <v>240</v>
      </c>
      <c r="E22" s="118">
        <v>5630</v>
      </c>
      <c r="F22" s="32">
        <f>SUM(C22*E22)</f>
        <v>56300</v>
      </c>
      <c r="G22" s="153">
        <v>523.99</v>
      </c>
      <c r="H22" s="32">
        <f>SUM(C22*G22)</f>
        <v>5239.8999999999996</v>
      </c>
      <c r="I22" s="32">
        <f>SUM(F22+H22)</f>
        <v>61539.9</v>
      </c>
      <c r="J22" s="213" t="s">
        <v>121</v>
      </c>
      <c r="K22" s="235">
        <v>5630</v>
      </c>
    </row>
    <row r="23" spans="1:11" ht="13.8" x14ac:dyDescent="0.25">
      <c r="A23" s="10" t="s">
        <v>118</v>
      </c>
      <c r="B23" s="30" t="s">
        <v>114</v>
      </c>
      <c r="C23" s="16">
        <v>18.100000000000001</v>
      </c>
      <c r="D23" s="17" t="s">
        <v>8</v>
      </c>
      <c r="E23" s="118">
        <v>2890</v>
      </c>
      <c r="F23" s="32">
        <f>SUM(C23*E23)</f>
        <v>52309.000000000007</v>
      </c>
      <c r="G23" s="153">
        <v>524.75</v>
      </c>
      <c r="H23" s="32">
        <f>SUM(C23*G23)</f>
        <v>9497.9750000000004</v>
      </c>
      <c r="I23" s="32">
        <f>SUM(F23+H23)</f>
        <v>61806.975000000006</v>
      </c>
      <c r="J23" s="213" t="s">
        <v>122</v>
      </c>
      <c r="K23" s="235">
        <v>2890</v>
      </c>
    </row>
    <row r="24" spans="1:11" ht="14.1" customHeight="1" thickBot="1" x14ac:dyDescent="0.3">
      <c r="A24" s="44"/>
      <c r="B24" s="45"/>
      <c r="C24" s="125"/>
      <c r="D24" s="126"/>
      <c r="E24" s="127"/>
      <c r="F24" s="128">
        <f>SUM(F20:F23)</f>
        <v>139004.22</v>
      </c>
      <c r="G24" s="127"/>
      <c r="H24" s="128">
        <f>SUM(H20:H23)</f>
        <v>23093.445</v>
      </c>
      <c r="I24" s="128">
        <f>SUM(I20:I23)</f>
        <v>162097.66500000001</v>
      </c>
      <c r="J24" s="227"/>
      <c r="K24" s="236"/>
    </row>
    <row r="25" spans="1:11" ht="14.1" customHeight="1" x14ac:dyDescent="0.25">
      <c r="A25" s="131" t="s">
        <v>105</v>
      </c>
      <c r="B25" s="135" t="s">
        <v>116</v>
      </c>
      <c r="C25" s="136"/>
      <c r="D25" s="137"/>
      <c r="E25" s="138"/>
      <c r="F25" s="138"/>
      <c r="G25" s="138"/>
      <c r="H25" s="138"/>
      <c r="I25" s="138"/>
      <c r="J25" s="225"/>
      <c r="K25" s="237"/>
    </row>
    <row r="26" spans="1:11" ht="14.1" customHeight="1" x14ac:dyDescent="0.25">
      <c r="A26" s="130" t="s">
        <v>106</v>
      </c>
      <c r="B26" s="248" t="s">
        <v>218</v>
      </c>
      <c r="C26" s="132">
        <v>4.5999999999999996</v>
      </c>
      <c r="D26" s="133" t="s">
        <v>8</v>
      </c>
      <c r="E26" s="118">
        <v>3669.8</v>
      </c>
      <c r="F26" s="32">
        <f>SUM(C26*E26)</f>
        <v>16881.079999999998</v>
      </c>
      <c r="G26" s="153">
        <v>543.29999999999995</v>
      </c>
      <c r="H26" s="32">
        <f>SUM(C26*G26)</f>
        <v>2499.1799999999994</v>
      </c>
      <c r="I26" s="32">
        <f>SUM(F26+H26)</f>
        <v>19380.259999999998</v>
      </c>
      <c r="J26" s="213" t="s">
        <v>241</v>
      </c>
      <c r="K26" s="235">
        <v>3669.8</v>
      </c>
    </row>
    <row r="27" spans="1:11" ht="27.6" x14ac:dyDescent="0.25">
      <c r="A27" s="130" t="s">
        <v>142</v>
      </c>
      <c r="B27" s="30" t="s">
        <v>250</v>
      </c>
      <c r="C27" s="16">
        <v>7</v>
      </c>
      <c r="D27" s="17" t="s">
        <v>8</v>
      </c>
      <c r="E27" s="118">
        <v>1567.49</v>
      </c>
      <c r="F27" s="32">
        <f>SUM(C27*E27)</f>
        <v>10972.43</v>
      </c>
      <c r="G27" s="153">
        <v>495</v>
      </c>
      <c r="H27" s="32">
        <f>SUM(C27*G27)</f>
        <v>3465</v>
      </c>
      <c r="I27" s="32">
        <f>SUM(F27+H27)</f>
        <v>14437.43</v>
      </c>
      <c r="J27" s="149" t="s">
        <v>197</v>
      </c>
      <c r="K27" s="235">
        <v>1567.49</v>
      </c>
    </row>
    <row r="28" spans="1:11" ht="13.8" x14ac:dyDescent="0.25">
      <c r="A28" s="130" t="s">
        <v>146</v>
      </c>
      <c r="B28" s="30" t="s">
        <v>145</v>
      </c>
      <c r="C28" s="16">
        <v>37.33</v>
      </c>
      <c r="D28" s="17" t="s">
        <v>8</v>
      </c>
      <c r="E28" s="118">
        <v>1482.65</v>
      </c>
      <c r="F28" s="32">
        <f>SUM(C28*E28)</f>
        <v>55347.324500000002</v>
      </c>
      <c r="G28" s="153">
        <v>314.58999999999997</v>
      </c>
      <c r="H28" s="32">
        <f>SUM(C28*G28)</f>
        <v>11743.644699999999</v>
      </c>
      <c r="I28" s="32">
        <f>SUM(F28+H28)</f>
        <v>67090.969200000007</v>
      </c>
      <c r="J28" s="213" t="s">
        <v>126</v>
      </c>
      <c r="K28" s="235">
        <v>1482.65</v>
      </c>
    </row>
    <row r="29" spans="1:11" ht="14.1" customHeight="1" thickBot="1" x14ac:dyDescent="0.3">
      <c r="A29" s="206"/>
      <c r="B29" s="207"/>
      <c r="C29" s="132"/>
      <c r="D29" s="133"/>
      <c r="E29" s="134"/>
      <c r="F29" s="208">
        <f>SUM(F26:F28)</f>
        <v>83200.834499999997</v>
      </c>
      <c r="G29" s="134"/>
      <c r="H29" s="208">
        <f>SUM(H26:H28)</f>
        <v>17707.824699999997</v>
      </c>
      <c r="I29" s="208">
        <f>SUM(I26:I28)+0.01</f>
        <v>100908.6692</v>
      </c>
      <c r="J29" s="228"/>
      <c r="K29" s="209"/>
    </row>
    <row r="30" spans="1:11" ht="14.1" customHeight="1" x14ac:dyDescent="0.25">
      <c r="A30" s="131" t="s">
        <v>107</v>
      </c>
      <c r="B30" s="135" t="s">
        <v>17</v>
      </c>
      <c r="C30" s="136"/>
      <c r="D30" s="137"/>
      <c r="E30" s="138"/>
      <c r="F30" s="138"/>
      <c r="G30" s="138"/>
      <c r="H30" s="138"/>
      <c r="I30" s="138"/>
      <c r="J30" s="225"/>
      <c r="K30" s="139"/>
    </row>
    <row r="31" spans="1:11" ht="27.6" x14ac:dyDescent="0.25">
      <c r="A31" s="130" t="s">
        <v>108</v>
      </c>
      <c r="B31" s="31" t="s">
        <v>215</v>
      </c>
      <c r="C31" s="16">
        <v>5</v>
      </c>
      <c r="D31" s="17" t="s">
        <v>21</v>
      </c>
      <c r="E31" s="153">
        <v>27504.400000000001</v>
      </c>
      <c r="F31" s="153">
        <f t="shared" ref="F31:F37" si="0">SUM(C31*E31)</f>
        <v>137522</v>
      </c>
      <c r="G31" s="153">
        <v>5592.16</v>
      </c>
      <c r="H31" s="153">
        <f t="shared" ref="H31:H37" si="1">SUM(C31*G31)</f>
        <v>27960.799999999999</v>
      </c>
      <c r="I31" s="153">
        <f>SUM(F31+H31)</f>
        <v>165482.79999999999</v>
      </c>
      <c r="J31" s="149" t="s">
        <v>183</v>
      </c>
      <c r="K31" s="234">
        <v>27504.400000000001</v>
      </c>
    </row>
    <row r="32" spans="1:11" ht="13.8" x14ac:dyDescent="0.25">
      <c r="A32" s="130" t="s">
        <v>109</v>
      </c>
      <c r="B32" s="30" t="s">
        <v>249</v>
      </c>
      <c r="C32" s="16">
        <v>2.3199999999999998</v>
      </c>
      <c r="D32" s="17" t="s">
        <v>8</v>
      </c>
      <c r="E32" s="118">
        <v>1672.41</v>
      </c>
      <c r="F32" s="153">
        <f>SUM(C32*E32)</f>
        <v>3879.9911999999999</v>
      </c>
      <c r="G32" s="153">
        <v>705.25</v>
      </c>
      <c r="H32" s="153">
        <f>SUM(C32*G32)</f>
        <v>1636.1799999999998</v>
      </c>
      <c r="I32" s="153">
        <f t="shared" ref="I32:I37" si="2">SUM(F32+H32)</f>
        <v>5516.1711999999998</v>
      </c>
      <c r="J32" s="149" t="s">
        <v>197</v>
      </c>
      <c r="K32" s="235">
        <v>1672.41</v>
      </c>
    </row>
    <row r="33" spans="1:11" ht="13.8" x14ac:dyDescent="0.25">
      <c r="A33" s="130" t="s">
        <v>110</v>
      </c>
      <c r="B33" s="31" t="s">
        <v>23</v>
      </c>
      <c r="C33" s="16">
        <v>384</v>
      </c>
      <c r="D33" s="17" t="s">
        <v>10</v>
      </c>
      <c r="E33" s="152">
        <v>47.99</v>
      </c>
      <c r="F33" s="153">
        <f t="shared" si="0"/>
        <v>18428.16</v>
      </c>
      <c r="G33" s="152">
        <v>17.7</v>
      </c>
      <c r="H33" s="153">
        <f t="shared" si="1"/>
        <v>6796.7999999999993</v>
      </c>
      <c r="I33" s="153">
        <f t="shared" si="2"/>
        <v>25224.959999999999</v>
      </c>
      <c r="J33" s="149" t="s">
        <v>208</v>
      </c>
      <c r="K33" s="234">
        <v>47.99</v>
      </c>
    </row>
    <row r="34" spans="1:11" ht="13.8" x14ac:dyDescent="0.25">
      <c r="A34" s="130" t="s">
        <v>111</v>
      </c>
      <c r="B34" s="31" t="s">
        <v>28</v>
      </c>
      <c r="C34" s="16">
        <v>350</v>
      </c>
      <c r="D34" s="17" t="s">
        <v>123</v>
      </c>
      <c r="E34" s="153">
        <v>0</v>
      </c>
      <c r="F34" s="153">
        <f t="shared" si="0"/>
        <v>0</v>
      </c>
      <c r="G34" s="153">
        <v>8.68</v>
      </c>
      <c r="H34" s="153">
        <f>SUM(C34*G34)</f>
        <v>3038</v>
      </c>
      <c r="I34" s="153">
        <f>SUM(F34+H34)</f>
        <v>3038</v>
      </c>
      <c r="J34" s="149" t="s">
        <v>242</v>
      </c>
      <c r="K34" s="234">
        <v>0.68</v>
      </c>
    </row>
    <row r="35" spans="1:11" ht="27.6" x14ac:dyDescent="0.25">
      <c r="A35" s="130" t="s">
        <v>112</v>
      </c>
      <c r="B35" s="31" t="s">
        <v>217</v>
      </c>
      <c r="C35" s="18">
        <v>14.4</v>
      </c>
      <c r="D35" s="9" t="s">
        <v>8</v>
      </c>
      <c r="E35" s="118">
        <v>1822.32</v>
      </c>
      <c r="F35" s="153">
        <f>SUM(C35*E35)</f>
        <v>26241.407999999999</v>
      </c>
      <c r="G35" s="153">
        <v>234.38</v>
      </c>
      <c r="H35" s="153">
        <f t="shared" si="1"/>
        <v>3375.0720000000001</v>
      </c>
      <c r="I35" s="153">
        <f t="shared" si="2"/>
        <v>29616.48</v>
      </c>
      <c r="J35" s="149" t="s">
        <v>209</v>
      </c>
      <c r="K35" s="235">
        <v>1822.32</v>
      </c>
    </row>
    <row r="36" spans="1:11" ht="27.6" x14ac:dyDescent="0.25">
      <c r="A36" s="130" t="s">
        <v>113</v>
      </c>
      <c r="B36" s="31" t="s">
        <v>195</v>
      </c>
      <c r="C36" s="18">
        <v>20</v>
      </c>
      <c r="D36" s="9" t="s">
        <v>117</v>
      </c>
      <c r="E36" s="153">
        <v>550</v>
      </c>
      <c r="F36" s="153">
        <f>PRODUCT(C36,E36)</f>
        <v>11000</v>
      </c>
      <c r="G36" s="153">
        <v>150</v>
      </c>
      <c r="H36" s="153">
        <f>PRODUCT(G36,C36)</f>
        <v>3000</v>
      </c>
      <c r="I36" s="153">
        <f t="shared" si="2"/>
        <v>14000</v>
      </c>
      <c r="J36" s="229">
        <v>10807</v>
      </c>
      <c r="K36" s="234">
        <v>550</v>
      </c>
    </row>
    <row r="37" spans="1:11" ht="13.8" x14ac:dyDescent="0.25">
      <c r="A37" s="130" t="s">
        <v>124</v>
      </c>
      <c r="B37" s="31" t="s">
        <v>221</v>
      </c>
      <c r="C37" s="16">
        <v>8</v>
      </c>
      <c r="D37" s="17" t="s">
        <v>8</v>
      </c>
      <c r="E37" s="118">
        <v>2750</v>
      </c>
      <c r="F37" s="153">
        <f t="shared" si="0"/>
        <v>22000</v>
      </c>
      <c r="G37" s="153">
        <v>449.66</v>
      </c>
      <c r="H37" s="153">
        <f t="shared" si="1"/>
        <v>3597.28</v>
      </c>
      <c r="I37" s="153">
        <f t="shared" si="2"/>
        <v>25597.279999999999</v>
      </c>
      <c r="J37" s="229" t="s">
        <v>210</v>
      </c>
      <c r="K37" s="235">
        <v>1508.1414350000002</v>
      </c>
    </row>
    <row r="38" spans="1:11" ht="14.1" customHeight="1" thickBot="1" x14ac:dyDescent="0.3">
      <c r="A38" s="44"/>
      <c r="B38" s="45" t="s">
        <v>7</v>
      </c>
      <c r="C38" s="46"/>
      <c r="D38" s="46"/>
      <c r="E38" s="47"/>
      <c r="F38" s="128">
        <f>SUM(F31:F37)</f>
        <v>219071.55919999999</v>
      </c>
      <c r="G38" s="127"/>
      <c r="H38" s="128">
        <f>SUM(H31:H37)</f>
        <v>49404.131999999998</v>
      </c>
      <c r="I38" s="128">
        <f>SUM(I31:I37)</f>
        <v>268475.6912</v>
      </c>
      <c r="J38" s="230"/>
      <c r="K38" s="231"/>
    </row>
    <row r="39" spans="1:11" ht="14.1" customHeight="1" thickBot="1" x14ac:dyDescent="0.3">
      <c r="A39" s="140"/>
      <c r="B39" s="141" t="s">
        <v>9</v>
      </c>
      <c r="C39" s="142"/>
      <c r="D39" s="142"/>
      <c r="E39" s="143"/>
      <c r="F39" s="150">
        <f>F14+F18+F24+F29+F38</f>
        <v>448139.22069999995</v>
      </c>
      <c r="G39" s="151"/>
      <c r="H39" s="150">
        <f>H14+H18+H24+H29+H38</f>
        <v>118378.14169999999</v>
      </c>
      <c r="I39" s="150">
        <f>I14+I18+I24+I29+I38</f>
        <v>566517.37239999999</v>
      </c>
      <c r="J39" s="48"/>
      <c r="K39" s="49"/>
    </row>
    <row r="40" spans="1:11" ht="13.8" x14ac:dyDescent="0.25">
      <c r="B40" s="144"/>
    </row>
    <row r="41" spans="1:11" ht="13.8" x14ac:dyDescent="0.25">
      <c r="B41" s="145" t="s">
        <v>222</v>
      </c>
      <c r="I41" s="218"/>
    </row>
    <row r="42" spans="1:11" ht="13.8" x14ac:dyDescent="0.25">
      <c r="B42" s="145" t="s">
        <v>224</v>
      </c>
      <c r="I42" s="218"/>
    </row>
    <row r="43" spans="1:11" ht="13.8" x14ac:dyDescent="0.25">
      <c r="B43" s="145"/>
      <c r="I43" s="218"/>
    </row>
    <row r="44" spans="1:11" ht="15" x14ac:dyDescent="0.25">
      <c r="B44" s="420" t="s">
        <v>223</v>
      </c>
      <c r="C44" s="420"/>
      <c r="D44" s="420"/>
      <c r="E44" s="420"/>
      <c r="H44" s="218"/>
      <c r="I44" s="218"/>
    </row>
    <row r="45" spans="1:11" ht="15" x14ac:dyDescent="0.25">
      <c r="B45" s="338"/>
      <c r="H45" s="218"/>
      <c r="I45" s="232"/>
    </row>
    <row r="46" spans="1:11" ht="15" x14ac:dyDescent="0.25">
      <c r="B46" s="421" t="s">
        <v>194</v>
      </c>
      <c r="C46" s="421"/>
      <c r="I46" s="218"/>
    </row>
    <row r="47" spans="1:11" ht="15" x14ac:dyDescent="0.25">
      <c r="B47" s="420" t="s">
        <v>160</v>
      </c>
      <c r="C47" s="420"/>
    </row>
    <row r="48" spans="1:11" ht="15" x14ac:dyDescent="0.25">
      <c r="B48" s="420" t="s">
        <v>161</v>
      </c>
      <c r="C48" s="420"/>
    </row>
    <row r="49" spans="2:3" ht="15" x14ac:dyDescent="0.25">
      <c r="B49" s="420" t="s">
        <v>165</v>
      </c>
      <c r="C49" s="420"/>
    </row>
  </sheetData>
  <mergeCells count="19">
    <mergeCell ref="B48:C48"/>
    <mergeCell ref="B49:C49"/>
    <mergeCell ref="B46:C46"/>
    <mergeCell ref="A7:A8"/>
    <mergeCell ref="B7:B8"/>
    <mergeCell ref="C7:C8"/>
    <mergeCell ref="B44:E44"/>
    <mergeCell ref="B47:C47"/>
    <mergeCell ref="D7:D8"/>
    <mergeCell ref="A5:K5"/>
    <mergeCell ref="I7:I8"/>
    <mergeCell ref="E7:F7"/>
    <mergeCell ref="G7:H7"/>
    <mergeCell ref="A2:K2"/>
    <mergeCell ref="A3:K3"/>
    <mergeCell ref="A4:K4"/>
    <mergeCell ref="A6:K6"/>
    <mergeCell ref="J7:J8"/>
    <mergeCell ref="K7:K8"/>
  </mergeCells>
  <phoneticPr fontId="2" type="noConversion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 alignWithMargins="0"/>
  <ignoredErrors>
    <ignoredError sqref="H36 F3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50D9-5288-4C4F-8615-BBD9F20DBF77}">
  <dimension ref="A1:N22"/>
  <sheetViews>
    <sheetView workbookViewId="0">
      <selection activeCell="J27" sqref="J27"/>
    </sheetView>
  </sheetViews>
  <sheetFormatPr defaultRowHeight="13.2" x14ac:dyDescent="0.25"/>
  <cols>
    <col min="1" max="1" width="7.33203125" customWidth="1"/>
    <col min="2" max="2" width="28" customWidth="1"/>
    <col min="3" max="3" width="16.33203125" customWidth="1"/>
    <col min="5" max="5" width="16.109375" bestFit="1" customWidth="1"/>
    <col min="7" max="7" width="16.109375" bestFit="1" customWidth="1"/>
    <col min="8" max="8" width="9.44140625" bestFit="1" customWidth="1"/>
    <col min="9" max="9" width="16.109375" bestFit="1" customWidth="1"/>
    <col min="10" max="10" width="9.44140625" customWidth="1"/>
    <col min="11" max="11" width="16.109375" bestFit="1" customWidth="1"/>
    <col min="12" max="12" width="9.44140625" bestFit="1" customWidth="1"/>
  </cols>
  <sheetData>
    <row r="1" spans="1:14" ht="13.8" x14ac:dyDescent="0.25">
      <c r="A1" s="395" t="str">
        <f>Orçamento!A2</f>
        <v>Proprietário: Prefeitura Municipal  de Caçapava do Sul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7"/>
    </row>
    <row r="2" spans="1:14" ht="13.8" x14ac:dyDescent="0.25">
      <c r="A2" s="398" t="str">
        <f>Orçamento!A3</f>
        <v xml:space="preserve">Obra: Ponte da Vila Sul  12 m de comp. X  6 m larg. </v>
      </c>
      <c r="B2" s="3"/>
      <c r="C2" s="3"/>
      <c r="D2" s="3"/>
      <c r="E2" s="3"/>
      <c r="F2" s="3"/>
      <c r="G2" s="3"/>
      <c r="H2" s="3"/>
      <c r="I2" s="3"/>
      <c r="J2" s="3"/>
      <c r="K2" s="3"/>
      <c r="L2" s="399"/>
    </row>
    <row r="3" spans="1:14" ht="13.8" x14ac:dyDescent="0.25">
      <c r="A3" s="398" t="str">
        <f>Orçamento!A4</f>
        <v>Local:  Ponte da Vila Sul</v>
      </c>
      <c r="B3" s="3"/>
      <c r="C3" s="3"/>
      <c r="D3" s="3"/>
      <c r="E3" s="3"/>
      <c r="F3" s="3"/>
      <c r="G3" s="3"/>
      <c r="H3" s="3"/>
      <c r="I3" s="3"/>
      <c r="J3" s="3"/>
      <c r="K3" s="3"/>
      <c r="L3" s="399"/>
    </row>
    <row r="4" spans="1:14" ht="14.4" thickBot="1" x14ac:dyDescent="0.3">
      <c r="A4" s="400" t="str">
        <f>Orçamento!A5</f>
        <v>Área: 72 m² Pista de Rolamento ( Tabuleiro)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2"/>
    </row>
    <row r="6" spans="1:14" ht="14.4" thickBot="1" x14ac:dyDescent="0.3">
      <c r="A6" s="424" t="s">
        <v>97</v>
      </c>
      <c r="B6" s="425"/>
      <c r="C6" s="425"/>
      <c r="D6" s="425"/>
      <c r="E6" s="425"/>
      <c r="F6" s="425"/>
      <c r="G6" s="425"/>
      <c r="H6" s="425"/>
      <c r="I6" s="425"/>
      <c r="J6" s="425"/>
      <c r="K6" s="425"/>
      <c r="L6" s="426"/>
    </row>
    <row r="7" spans="1:14" ht="14.4" thickBot="1" x14ac:dyDescent="0.3">
      <c r="A7" s="11" t="s">
        <v>0</v>
      </c>
      <c r="B7" s="12" t="s">
        <v>40</v>
      </c>
      <c r="C7" s="13" t="s">
        <v>29</v>
      </c>
      <c r="D7" s="14" t="s">
        <v>30</v>
      </c>
      <c r="E7" s="13" t="s">
        <v>31</v>
      </c>
      <c r="F7" s="14" t="s">
        <v>30</v>
      </c>
      <c r="G7" s="13" t="s">
        <v>32</v>
      </c>
      <c r="H7" s="14" t="s">
        <v>30</v>
      </c>
      <c r="I7" s="13" t="s">
        <v>182</v>
      </c>
      <c r="J7" s="14" t="s">
        <v>30</v>
      </c>
      <c r="K7" s="13" t="s">
        <v>4</v>
      </c>
      <c r="L7" s="15" t="s">
        <v>30</v>
      </c>
    </row>
    <row r="8" spans="1:14" ht="13.8" x14ac:dyDescent="0.25">
      <c r="A8" s="2" t="s">
        <v>33</v>
      </c>
      <c r="B8" s="3" t="s">
        <v>18</v>
      </c>
      <c r="C8" s="29">
        <f>K8*D8</f>
        <v>33238.149999999994</v>
      </c>
      <c r="D8" s="28">
        <v>1</v>
      </c>
      <c r="E8" s="29">
        <f>K8*F8</f>
        <v>0</v>
      </c>
      <c r="F8" s="25">
        <v>0</v>
      </c>
      <c r="G8" s="26">
        <f>H8*K8</f>
        <v>0</v>
      </c>
      <c r="H8" s="25">
        <v>0</v>
      </c>
      <c r="I8" s="26">
        <f>J8*K8</f>
        <v>0</v>
      </c>
      <c r="J8" s="25">
        <v>0</v>
      </c>
      <c r="K8" s="27">
        <f>Orçamento!I14</f>
        <v>33238.149999999994</v>
      </c>
      <c r="L8" s="146">
        <f>K8/K14</f>
        <v>5.8671016317098194E-2</v>
      </c>
      <c r="N8" s="217"/>
    </row>
    <row r="9" spans="1:14" ht="13.8" x14ac:dyDescent="0.25">
      <c r="A9" s="2" t="s">
        <v>34</v>
      </c>
      <c r="B9" s="4" t="str">
        <f>Orçamento!B15</f>
        <v>MOVIMENTO DE TERRA</v>
      </c>
      <c r="C9" s="29">
        <f>K9*D9</f>
        <v>1797.1969999999999</v>
      </c>
      <c r="D9" s="28">
        <v>1</v>
      </c>
      <c r="E9" s="29">
        <f>K9*F9</f>
        <v>0</v>
      </c>
      <c r="F9" s="28">
        <v>0</v>
      </c>
      <c r="G9" s="26">
        <f>H9*K9</f>
        <v>0</v>
      </c>
      <c r="H9" s="25">
        <v>0</v>
      </c>
      <c r="I9" s="26">
        <f>J9*K9</f>
        <v>0</v>
      </c>
      <c r="J9" s="25">
        <v>0</v>
      </c>
      <c r="K9" s="27">
        <f>Orçamento!I18</f>
        <v>1797.1969999999999</v>
      </c>
      <c r="L9" s="146">
        <f>K9/K14</f>
        <v>3.1723599090815804E-3</v>
      </c>
      <c r="N9" s="217"/>
    </row>
    <row r="10" spans="1:14" ht="13.8" x14ac:dyDescent="0.25">
      <c r="A10" s="2" t="s">
        <v>35</v>
      </c>
      <c r="B10" s="4" t="str">
        <f>Orçamento!B19</f>
        <v>INFRA-ESTRUTURA</v>
      </c>
      <c r="C10" s="29">
        <f>K10*D10</f>
        <v>0</v>
      </c>
      <c r="D10" s="28">
        <v>0</v>
      </c>
      <c r="E10" s="29">
        <f>K10*F10</f>
        <v>97258.599000000002</v>
      </c>
      <c r="F10" s="28">
        <v>0.6</v>
      </c>
      <c r="G10" s="26">
        <f>H10*K10</f>
        <v>64839.066000000006</v>
      </c>
      <c r="H10" s="25">
        <v>0.4</v>
      </c>
      <c r="I10" s="26">
        <f>J10*K10</f>
        <v>0</v>
      </c>
      <c r="J10" s="25">
        <v>0</v>
      </c>
      <c r="K10" s="27">
        <f>Orçamento!I24</f>
        <v>162097.66500000001</v>
      </c>
      <c r="L10" s="146">
        <f>K10/K14</f>
        <v>0.28613008690852287</v>
      </c>
      <c r="N10" s="217"/>
    </row>
    <row r="11" spans="1:14" ht="13.8" x14ac:dyDescent="0.25">
      <c r="A11" s="2" t="s">
        <v>105</v>
      </c>
      <c r="B11" s="4" t="str">
        <f>Orçamento!B25</f>
        <v>MESO-ESTRUTURA</v>
      </c>
      <c r="C11" s="29">
        <f>K11*D11</f>
        <v>0</v>
      </c>
      <c r="D11" s="28">
        <v>0</v>
      </c>
      <c r="E11" s="29">
        <f>K11*F11</f>
        <v>60545.201520000002</v>
      </c>
      <c r="F11" s="28">
        <v>0.6</v>
      </c>
      <c r="G11" s="26">
        <f>H11*K11</f>
        <v>40363.467680000002</v>
      </c>
      <c r="H11" s="25">
        <v>0.4</v>
      </c>
      <c r="I11" s="26">
        <f>J11*K11</f>
        <v>0</v>
      </c>
      <c r="J11" s="25">
        <v>0</v>
      </c>
      <c r="K11" s="27">
        <f>Orçamento!I29</f>
        <v>100908.6692</v>
      </c>
      <c r="L11" s="146">
        <f>K11/K14</f>
        <v>0.1781210499732947</v>
      </c>
      <c r="N11" s="217"/>
    </row>
    <row r="12" spans="1:14" ht="14.4" thickBot="1" x14ac:dyDescent="0.3">
      <c r="A12" s="2" t="s">
        <v>107</v>
      </c>
      <c r="B12" s="4" t="str">
        <f>Orçamento!B30</f>
        <v>SUPER-ESTRUTURA</v>
      </c>
      <c r="C12" s="29">
        <f>K12*D12</f>
        <v>0</v>
      </c>
      <c r="D12" s="28">
        <v>0</v>
      </c>
      <c r="E12" s="29">
        <f>K12*F12</f>
        <v>0</v>
      </c>
      <c r="F12" s="28">
        <v>0</v>
      </c>
      <c r="G12" s="26">
        <f>H12*K12</f>
        <v>107390.27648</v>
      </c>
      <c r="H12" s="25">
        <v>0.4</v>
      </c>
      <c r="I12" s="26">
        <f>J12*K12</f>
        <v>161085.41472</v>
      </c>
      <c r="J12" s="25">
        <v>0.6</v>
      </c>
      <c r="K12" s="27">
        <f>Orçamento!I38</f>
        <v>268475.6912</v>
      </c>
      <c r="L12" s="146">
        <f>K12/K14</f>
        <v>0.47390548689200268</v>
      </c>
      <c r="N12" s="217"/>
    </row>
    <row r="13" spans="1:14" ht="13.8" x14ac:dyDescent="0.25">
      <c r="A13" s="200"/>
      <c r="B13" s="201" t="s">
        <v>36</v>
      </c>
      <c r="C13" s="202">
        <f>SUM(C8:C12)</f>
        <v>35035.346999999994</v>
      </c>
      <c r="D13" s="203">
        <f>C13/K14</f>
        <v>6.1843376226179775E-2</v>
      </c>
      <c r="E13" s="202">
        <f>SUM(E8:E12)</f>
        <v>157803.80051999999</v>
      </c>
      <c r="F13" s="203">
        <f>E13/K14</f>
        <v>0.27855068212909051</v>
      </c>
      <c r="G13" s="202">
        <f>SUM(G8:G12)</f>
        <v>212592.81015999999</v>
      </c>
      <c r="H13" s="203">
        <f>G13/K14</f>
        <v>0.37526264950952809</v>
      </c>
      <c r="I13" s="202">
        <f>SUM(I8:I12)</f>
        <v>161085.41472</v>
      </c>
      <c r="J13" s="203">
        <f>I13/K14</f>
        <v>0.2843432921352016</v>
      </c>
      <c r="K13" s="202">
        <f>SUM(K8:K12)</f>
        <v>566517.37239999999</v>
      </c>
      <c r="L13" s="204">
        <f>SUM(L8:L12)</f>
        <v>1</v>
      </c>
    </row>
    <row r="14" spans="1:14" ht="14.4" thickBot="1" x14ac:dyDescent="0.3">
      <c r="A14" s="5"/>
      <c r="B14" s="6" t="s">
        <v>9</v>
      </c>
      <c r="C14" s="24">
        <f>C13</f>
        <v>35035.346999999994</v>
      </c>
      <c r="D14" s="148">
        <f>D13</f>
        <v>6.1843376226179775E-2</v>
      </c>
      <c r="E14" s="24">
        <f t="shared" ref="E14:J14" si="0">C14+E13</f>
        <v>192839.14752</v>
      </c>
      <c r="F14" s="148">
        <f t="shared" si="0"/>
        <v>0.34039405835527026</v>
      </c>
      <c r="G14" s="24">
        <f t="shared" si="0"/>
        <v>405431.95767999999</v>
      </c>
      <c r="H14" s="148">
        <f t="shared" si="0"/>
        <v>0.7156567078647984</v>
      </c>
      <c r="I14" s="24">
        <f t="shared" si="0"/>
        <v>566517.37239999999</v>
      </c>
      <c r="J14" s="148">
        <f t="shared" si="0"/>
        <v>1</v>
      </c>
      <c r="K14" s="24">
        <f>Orçamento!I39</f>
        <v>566517.37239999999</v>
      </c>
      <c r="L14" s="147">
        <f>L8+L9+L10+L11+L12</f>
        <v>1</v>
      </c>
    </row>
    <row r="17" spans="2:3" ht="15" x14ac:dyDescent="0.25">
      <c r="B17" s="423" t="s">
        <v>237</v>
      </c>
      <c r="C17" s="423"/>
    </row>
    <row r="18" spans="2:3" ht="15" x14ac:dyDescent="0.25">
      <c r="B18" s="338"/>
    </row>
    <row r="19" spans="2:3" ht="15" x14ac:dyDescent="0.25">
      <c r="B19" s="421" t="s">
        <v>179</v>
      </c>
      <c r="C19" s="421"/>
    </row>
    <row r="20" spans="2:3" ht="15" x14ac:dyDescent="0.25">
      <c r="B20" s="420" t="s">
        <v>160</v>
      </c>
      <c r="C20" s="420"/>
    </row>
    <row r="21" spans="2:3" ht="15" x14ac:dyDescent="0.25">
      <c r="B21" s="420" t="s">
        <v>161</v>
      </c>
      <c r="C21" s="420"/>
    </row>
    <row r="22" spans="2:3" ht="15" x14ac:dyDescent="0.25">
      <c r="B22" s="420" t="s">
        <v>165</v>
      </c>
      <c r="C22" s="420"/>
    </row>
  </sheetData>
  <mergeCells count="7">
    <mergeCell ref="A4:L4"/>
    <mergeCell ref="B20:C20"/>
    <mergeCell ref="B21:C21"/>
    <mergeCell ref="B22:C22"/>
    <mergeCell ref="B19:C19"/>
    <mergeCell ref="B17:C17"/>
    <mergeCell ref="A6:L6"/>
  </mergeCells>
  <pageMargins left="0.51181102362204722" right="0.51181102362204722" top="1.1811023622047245" bottom="0.78740157480314965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F0B0-C5AB-4D6D-820D-3450196E1D47}">
  <dimension ref="A1:F26"/>
  <sheetViews>
    <sheetView topLeftCell="A6" workbookViewId="0">
      <selection activeCell="H19" sqref="H19"/>
    </sheetView>
  </sheetViews>
  <sheetFormatPr defaultRowHeight="13.2" x14ac:dyDescent="0.25"/>
  <cols>
    <col min="1" max="1" width="43.33203125" bestFit="1" customWidth="1"/>
    <col min="2" max="2" width="10.88671875" customWidth="1"/>
    <col min="3" max="3" width="11.44140625" customWidth="1"/>
    <col min="4" max="4" width="15.109375" customWidth="1"/>
  </cols>
  <sheetData>
    <row r="1" spans="1:6" ht="13.8" x14ac:dyDescent="0.25">
      <c r="A1" s="430" t="str">
        <f>Orçamento!A2</f>
        <v>Proprietário: Prefeitura Municipal  de Caçapava do Sul</v>
      </c>
      <c r="B1" s="431"/>
      <c r="C1" s="431"/>
      <c r="D1" s="431"/>
      <c r="E1" s="431"/>
      <c r="F1" s="432"/>
    </row>
    <row r="2" spans="1:6" ht="13.8" x14ac:dyDescent="0.25">
      <c r="A2" s="427" t="str">
        <f>Orçamento!A3</f>
        <v xml:space="preserve">Obra: Ponte da Vila Sul  12 m de comp. X  6 m larg. </v>
      </c>
      <c r="B2" s="428"/>
      <c r="C2" s="428"/>
      <c r="D2" s="428"/>
      <c r="E2" s="428"/>
      <c r="F2" s="429"/>
    </row>
    <row r="3" spans="1:6" ht="13.8" x14ac:dyDescent="0.25">
      <c r="A3" s="427" t="str">
        <f>Orçamento!A4</f>
        <v>Local:  Ponte da Vila Sul</v>
      </c>
      <c r="B3" s="428"/>
      <c r="C3" s="428"/>
      <c r="D3" s="428"/>
      <c r="E3" s="428"/>
      <c r="F3" s="429"/>
    </row>
    <row r="4" spans="1:6" ht="14.4" thickBot="1" x14ac:dyDescent="0.3">
      <c r="A4" s="440" t="str">
        <f>Orçamento!A5</f>
        <v>Área: 72 m² Pista de Rolamento ( Tabuleiro)</v>
      </c>
      <c r="B4" s="441"/>
      <c r="C4" s="441"/>
      <c r="D4" s="441"/>
      <c r="E4" s="441"/>
      <c r="F4" s="442"/>
    </row>
    <row r="5" spans="1:6" ht="14.4" thickBot="1" x14ac:dyDescent="0.3">
      <c r="A5" s="437" t="s">
        <v>96</v>
      </c>
      <c r="B5" s="438"/>
      <c r="C5" s="438"/>
      <c r="D5" s="438"/>
      <c r="E5" s="438"/>
      <c r="F5" s="439"/>
    </row>
    <row r="6" spans="1:6" ht="14.4" thickBot="1" x14ac:dyDescent="0.3">
      <c r="A6" s="199"/>
      <c r="B6" s="199"/>
      <c r="C6" s="199"/>
      <c r="D6" s="199"/>
    </row>
    <row r="7" spans="1:6" ht="14.25" customHeight="1" x14ac:dyDescent="0.25">
      <c r="A7" s="344" t="s">
        <v>166</v>
      </c>
      <c r="B7" s="345" t="s">
        <v>167</v>
      </c>
      <c r="C7" s="345" t="s">
        <v>168</v>
      </c>
      <c r="D7" s="433" t="s">
        <v>169</v>
      </c>
      <c r="E7" s="433"/>
      <c r="F7" s="434"/>
    </row>
    <row r="8" spans="1:6" ht="15.75" customHeight="1" x14ac:dyDescent="0.25">
      <c r="A8" s="346"/>
      <c r="B8" s="340"/>
      <c r="C8" s="340"/>
      <c r="D8" s="339" t="s">
        <v>170</v>
      </c>
      <c r="E8" s="339" t="s">
        <v>171</v>
      </c>
      <c r="F8" s="347" t="s">
        <v>172</v>
      </c>
    </row>
    <row r="9" spans="1:6" x14ac:dyDescent="0.25">
      <c r="A9" s="348" t="str">
        <f>IF($D$11=$A$47,"Administração Central da empresa ou consultoria - overhead","Seguro e Garantia")</f>
        <v>Seguro e Garantia</v>
      </c>
      <c r="B9" s="341">
        <v>4.6699999999999998E-2</v>
      </c>
      <c r="C9" s="339" t="s">
        <v>89</v>
      </c>
      <c r="D9" s="342">
        <v>3.7999999999999999E-2</v>
      </c>
      <c r="E9" s="342">
        <v>4.0099999999999997E-2</v>
      </c>
      <c r="F9" s="349">
        <v>4.6699999999999998E-2</v>
      </c>
    </row>
    <row r="10" spans="1:6" ht="15" customHeight="1" x14ac:dyDescent="0.25">
      <c r="A10" s="348" t="str">
        <f>IF($D$11=$A$47,"","Risco")</f>
        <v>Risco</v>
      </c>
      <c r="B10" s="341">
        <v>7.4000000000000003E-3</v>
      </c>
      <c r="C10" s="339" t="s">
        <v>89</v>
      </c>
      <c r="D10" s="342">
        <v>3.2000000000000002E-3</v>
      </c>
      <c r="E10" s="342">
        <v>4.0000000000000001E-3</v>
      </c>
      <c r="F10" s="349">
        <v>7.4000000000000003E-3</v>
      </c>
    </row>
    <row r="11" spans="1:6" ht="15.75" customHeight="1" x14ac:dyDescent="0.25">
      <c r="A11" s="348" t="str">
        <f>IF($D$11=$A$47,"","Despesas Financeiras")</f>
        <v>Despesas Financeiras</v>
      </c>
      <c r="B11" s="341">
        <v>9.7000000000000003E-3</v>
      </c>
      <c r="C11" s="339" t="s">
        <v>89</v>
      </c>
      <c r="D11" s="342">
        <v>5.0000000000000001E-3</v>
      </c>
      <c r="E11" s="342">
        <v>5.6000000000000008E-3</v>
      </c>
      <c r="F11" s="349">
        <v>9.7000000000000003E-3</v>
      </c>
    </row>
    <row r="12" spans="1:6" x14ac:dyDescent="0.25">
      <c r="A12" s="348" t="str">
        <f>IF($D$11=$A$47,"Margem bruta da empresa de consultoria","Lucro")</f>
        <v>Lucro</v>
      </c>
      <c r="B12" s="341">
        <v>1.21E-2</v>
      </c>
      <c r="C12" s="339" t="s">
        <v>89</v>
      </c>
      <c r="D12" s="342">
        <v>1.0200000000000001E-2</v>
      </c>
      <c r="E12" s="342">
        <v>1.11E-2</v>
      </c>
      <c r="F12" s="349">
        <v>1.21E-2</v>
      </c>
    </row>
    <row r="13" spans="1:6" ht="15.75" customHeight="1" x14ac:dyDescent="0.25">
      <c r="A13" s="350" t="s">
        <v>173</v>
      </c>
      <c r="B13" s="341">
        <v>8.6900000000000005E-2</v>
      </c>
      <c r="C13" s="339" t="s">
        <v>89</v>
      </c>
      <c r="D13" s="342">
        <v>6.6400000000000001E-2</v>
      </c>
      <c r="E13" s="342">
        <v>7.2999999999999995E-2</v>
      </c>
      <c r="F13" s="349">
        <v>8.6899999999999991E-2</v>
      </c>
    </row>
    <row r="14" spans="1:6" ht="16.5" customHeight="1" x14ac:dyDescent="0.25">
      <c r="A14" s="348" t="s">
        <v>174</v>
      </c>
      <c r="B14" s="341">
        <v>3.5000000000000003E-2</v>
      </c>
      <c r="C14" s="339" t="s">
        <v>89</v>
      </c>
      <c r="D14" s="342">
        <v>3.6499999999999998E-2</v>
      </c>
      <c r="E14" s="342">
        <v>3.6499999999999998E-2</v>
      </c>
      <c r="F14" s="349">
        <v>3.6499999999999998E-2</v>
      </c>
    </row>
    <row r="15" spans="1:6" ht="26.4" x14ac:dyDescent="0.25">
      <c r="A15" s="348" t="s">
        <v>175</v>
      </c>
      <c r="B15" s="342">
        <v>4.4499999999999998E-2</v>
      </c>
      <c r="C15" s="339" t="s">
        <v>89</v>
      </c>
      <c r="D15" s="342">
        <v>0</v>
      </c>
      <c r="E15" s="342">
        <v>2.5000000000000001E-2</v>
      </c>
      <c r="F15" s="349">
        <v>0.05</v>
      </c>
    </row>
    <row r="16" spans="1:6" x14ac:dyDescent="0.25">
      <c r="A16" s="346" t="s">
        <v>176</v>
      </c>
      <c r="B16" s="342">
        <v>0</v>
      </c>
      <c r="C16" s="339" t="s">
        <v>177</v>
      </c>
      <c r="D16" s="342">
        <v>0</v>
      </c>
      <c r="E16" s="342">
        <v>4.4999999999999998E-2</v>
      </c>
      <c r="F16" s="349">
        <v>4.4999999999999998E-2</v>
      </c>
    </row>
    <row r="17" spans="1:6" ht="15" customHeight="1" thickBot="1" x14ac:dyDescent="0.3">
      <c r="A17" s="355" t="s">
        <v>180</v>
      </c>
      <c r="B17" s="351">
        <v>0.24229999999999999</v>
      </c>
      <c r="C17" s="352" t="s">
        <v>177</v>
      </c>
      <c r="D17" s="353">
        <v>0.19600000000000001</v>
      </c>
      <c r="E17" s="353">
        <v>0.2097</v>
      </c>
      <c r="F17" s="354">
        <v>0.24230000000000002</v>
      </c>
    </row>
    <row r="20" spans="1:6" ht="15" x14ac:dyDescent="0.25">
      <c r="A20" s="421" t="s">
        <v>238</v>
      </c>
      <c r="B20" s="421"/>
    </row>
    <row r="23" spans="1:6" ht="15" customHeight="1" x14ac:dyDescent="0.25">
      <c r="A23" s="435" t="s">
        <v>178</v>
      </c>
      <c r="B23" s="436"/>
    </row>
    <row r="24" spans="1:6" ht="15" x14ac:dyDescent="0.25">
      <c r="A24" s="421" t="s">
        <v>160</v>
      </c>
      <c r="B24" s="421"/>
    </row>
    <row r="25" spans="1:6" ht="15" x14ac:dyDescent="0.25">
      <c r="A25" s="421" t="s">
        <v>161</v>
      </c>
      <c r="B25" s="421"/>
    </row>
    <row r="26" spans="1:6" ht="15" x14ac:dyDescent="0.25">
      <c r="A26" s="421" t="s">
        <v>165</v>
      </c>
      <c r="B26" s="421"/>
    </row>
  </sheetData>
  <mergeCells count="11">
    <mergeCell ref="A26:B26"/>
    <mergeCell ref="A23:B23"/>
    <mergeCell ref="A5:F5"/>
    <mergeCell ref="A4:F4"/>
    <mergeCell ref="A3:F3"/>
    <mergeCell ref="A2:F2"/>
    <mergeCell ref="A1:F1"/>
    <mergeCell ref="D7:F7"/>
    <mergeCell ref="A24:B24"/>
    <mergeCell ref="A20:B20"/>
    <mergeCell ref="A25:B25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D637-3D67-4B25-8E66-15989F3255BE}">
  <dimension ref="A1:L370"/>
  <sheetViews>
    <sheetView topLeftCell="A120" workbookViewId="0">
      <selection activeCell="E216" sqref="E216"/>
    </sheetView>
  </sheetViews>
  <sheetFormatPr defaultRowHeight="13.2" x14ac:dyDescent="0.25"/>
  <cols>
    <col min="2" max="2" width="35.33203125" customWidth="1"/>
    <col min="3" max="3" width="11.5546875" bestFit="1" customWidth="1"/>
    <col min="4" max="4" width="6.44140625" customWidth="1"/>
    <col min="5" max="5" width="11.44140625" customWidth="1"/>
    <col min="6" max="6" width="13.6640625" customWidth="1"/>
    <col min="7" max="7" width="9.6640625" customWidth="1"/>
    <col min="8" max="8" width="13.44140625" customWidth="1"/>
    <col min="9" max="9" width="15" bestFit="1" customWidth="1"/>
    <col min="10" max="10" width="12.33203125" customWidth="1"/>
    <col min="11" max="11" width="0.44140625" customWidth="1"/>
    <col min="12" max="12" width="11" bestFit="1" customWidth="1"/>
  </cols>
  <sheetData>
    <row r="1" spans="1:11" ht="14.4" thickBot="1" x14ac:dyDescent="0.3">
      <c r="A1" s="447" t="s">
        <v>246</v>
      </c>
      <c r="B1" s="448"/>
      <c r="C1" s="448"/>
      <c r="D1" s="448"/>
      <c r="E1" s="448"/>
      <c r="F1" s="448"/>
      <c r="G1" s="448"/>
      <c r="H1" s="448"/>
      <c r="I1" s="448"/>
      <c r="J1" s="448"/>
      <c r="K1" s="449"/>
    </row>
    <row r="2" spans="1:11" ht="14.4" thickBot="1" x14ac:dyDescent="0.3">
      <c r="A2" s="447" t="s">
        <v>184</v>
      </c>
      <c r="B2" s="448"/>
      <c r="C2" s="448"/>
      <c r="D2" s="448"/>
      <c r="E2" s="448"/>
      <c r="F2" s="449"/>
      <c r="G2" s="448" t="s">
        <v>127</v>
      </c>
      <c r="H2" s="448"/>
      <c r="I2" s="450"/>
      <c r="J2" s="58" t="s">
        <v>25</v>
      </c>
      <c r="K2" s="58" t="s">
        <v>41</v>
      </c>
    </row>
    <row r="3" spans="1:11" ht="13.8" x14ac:dyDescent="0.25">
      <c r="A3" s="451" t="s">
        <v>0</v>
      </c>
      <c r="B3" s="452" t="s">
        <v>98</v>
      </c>
      <c r="C3" s="452" t="s">
        <v>1</v>
      </c>
      <c r="D3" s="454" t="s">
        <v>2</v>
      </c>
      <c r="E3" s="455" t="s">
        <v>38</v>
      </c>
      <c r="F3" s="456"/>
      <c r="G3" s="455" t="s">
        <v>39</v>
      </c>
      <c r="H3" s="456"/>
      <c r="I3" s="457" t="s">
        <v>4</v>
      </c>
      <c r="J3" s="60" t="s">
        <v>26</v>
      </c>
      <c r="K3" s="60" t="s">
        <v>26</v>
      </c>
    </row>
    <row r="4" spans="1:11" ht="13.8" x14ac:dyDescent="0.25">
      <c r="A4" s="445"/>
      <c r="B4" s="453"/>
      <c r="C4" s="453"/>
      <c r="D4" s="446"/>
      <c r="E4" s="283" t="s">
        <v>3</v>
      </c>
      <c r="F4" s="284" t="s">
        <v>4</v>
      </c>
      <c r="G4" s="283" t="s">
        <v>3</v>
      </c>
      <c r="H4" s="284" t="s">
        <v>4</v>
      </c>
      <c r="I4" s="458"/>
      <c r="J4" s="69">
        <v>45931</v>
      </c>
      <c r="K4" s="63" t="s">
        <v>42</v>
      </c>
    </row>
    <row r="5" spans="1:11" ht="13.8" x14ac:dyDescent="0.25">
      <c r="A5" s="59" t="s">
        <v>79</v>
      </c>
      <c r="B5" s="55" t="s">
        <v>185</v>
      </c>
      <c r="C5" s="56"/>
      <c r="D5" s="65"/>
      <c r="E5" s="66"/>
      <c r="F5" s="67"/>
      <c r="G5" s="66"/>
      <c r="H5" s="68"/>
      <c r="I5" s="356"/>
      <c r="J5" s="357"/>
      <c r="K5" s="63"/>
    </row>
    <row r="6" spans="1:11" ht="13.8" x14ac:dyDescent="0.25">
      <c r="A6" s="358" t="s">
        <v>5</v>
      </c>
      <c r="B6" s="359" t="s">
        <v>186</v>
      </c>
      <c r="C6" s="250">
        <v>165</v>
      </c>
      <c r="D6" s="73" t="s">
        <v>90</v>
      </c>
      <c r="E6" s="155">
        <v>79.02</v>
      </c>
      <c r="F6" s="155">
        <f>PRODUCT(C6:E6)</f>
        <v>13038.3</v>
      </c>
      <c r="G6" s="155">
        <v>0</v>
      </c>
      <c r="H6" s="156">
        <f t="shared" ref="H6:H12" si="0">PRODUCT(G6,C6)</f>
        <v>0</v>
      </c>
      <c r="I6" s="155">
        <f t="shared" ref="I6:I11" si="1">SUM(F6+H6)</f>
        <v>13038.3</v>
      </c>
      <c r="J6" s="243">
        <v>93425</v>
      </c>
      <c r="K6" s="360">
        <v>79.02</v>
      </c>
    </row>
    <row r="7" spans="1:11" ht="13.8" x14ac:dyDescent="0.25">
      <c r="A7" s="61" t="s">
        <v>13</v>
      </c>
      <c r="B7" s="361" t="s">
        <v>187</v>
      </c>
      <c r="C7" s="251">
        <v>20</v>
      </c>
      <c r="D7" s="75" t="s">
        <v>90</v>
      </c>
      <c r="E7" s="155">
        <v>263.43</v>
      </c>
      <c r="F7" s="156">
        <f>PRODUCT(E7,C7)</f>
        <v>5268.6</v>
      </c>
      <c r="G7" s="156">
        <v>0</v>
      </c>
      <c r="H7" s="156">
        <f t="shared" si="0"/>
        <v>0</v>
      </c>
      <c r="I7" s="156">
        <f t="shared" si="1"/>
        <v>5268.6</v>
      </c>
      <c r="J7" s="244">
        <v>88907</v>
      </c>
      <c r="K7" s="362">
        <v>263.48</v>
      </c>
    </row>
    <row r="8" spans="1:11" ht="27.6" x14ac:dyDescent="0.25">
      <c r="A8" s="61" t="s">
        <v>20</v>
      </c>
      <c r="B8" s="361" t="s">
        <v>188</v>
      </c>
      <c r="C8" s="251">
        <v>50</v>
      </c>
      <c r="D8" s="75" t="s">
        <v>90</v>
      </c>
      <c r="E8" s="155">
        <v>25</v>
      </c>
      <c r="F8" s="156">
        <f>PRODUCT(E8,C8)</f>
        <v>1250</v>
      </c>
      <c r="G8" s="156">
        <v>0</v>
      </c>
      <c r="H8" s="156">
        <f t="shared" si="0"/>
        <v>0</v>
      </c>
      <c r="I8" s="156">
        <f t="shared" si="1"/>
        <v>1250</v>
      </c>
      <c r="J8" s="244">
        <v>7047</v>
      </c>
      <c r="K8" s="362">
        <v>25</v>
      </c>
    </row>
    <row r="9" spans="1:11" ht="13.8" x14ac:dyDescent="0.25">
      <c r="A9" s="61" t="s">
        <v>46</v>
      </c>
      <c r="B9" s="361" t="s">
        <v>189</v>
      </c>
      <c r="C9" s="251">
        <v>70</v>
      </c>
      <c r="D9" s="75" t="s">
        <v>90</v>
      </c>
      <c r="E9" s="155">
        <f>K9</f>
        <v>1.31</v>
      </c>
      <c r="F9" s="156">
        <f>SUM(C9*E9)</f>
        <v>91.7</v>
      </c>
      <c r="G9" s="156">
        <v>0</v>
      </c>
      <c r="H9" s="156">
        <f t="shared" si="0"/>
        <v>0</v>
      </c>
      <c r="I9" s="156">
        <f t="shared" si="1"/>
        <v>91.7</v>
      </c>
      <c r="J9" s="244">
        <v>10487</v>
      </c>
      <c r="K9" s="362">
        <v>1.31</v>
      </c>
    </row>
    <row r="10" spans="1:11" ht="13.8" x14ac:dyDescent="0.25">
      <c r="A10" s="61" t="s">
        <v>47</v>
      </c>
      <c r="B10" s="361" t="s">
        <v>190</v>
      </c>
      <c r="C10" s="251">
        <v>54.5</v>
      </c>
      <c r="D10" s="75" t="s">
        <v>90</v>
      </c>
      <c r="E10" s="155">
        <v>79.02</v>
      </c>
      <c r="F10" s="156">
        <f>SUM(C10*E10)</f>
        <v>4306.59</v>
      </c>
      <c r="G10" s="156">
        <v>0</v>
      </c>
      <c r="H10" s="156">
        <f t="shared" si="0"/>
        <v>0</v>
      </c>
      <c r="I10" s="156">
        <f t="shared" si="1"/>
        <v>4306.59</v>
      </c>
      <c r="J10" s="244">
        <v>90972</v>
      </c>
      <c r="K10" s="362">
        <v>79.02</v>
      </c>
    </row>
    <row r="11" spans="1:11" ht="13.8" x14ac:dyDescent="0.25">
      <c r="A11" s="61" t="s">
        <v>48</v>
      </c>
      <c r="B11" s="361" t="s">
        <v>191</v>
      </c>
      <c r="C11" s="251">
        <v>55</v>
      </c>
      <c r="D11" s="75" t="s">
        <v>90</v>
      </c>
      <c r="E11" s="155">
        <v>38.61</v>
      </c>
      <c r="F11" s="156">
        <f>SUM(C11*E11)</f>
        <v>2123.5500000000002</v>
      </c>
      <c r="G11" s="156">
        <v>0</v>
      </c>
      <c r="H11" s="156">
        <f t="shared" si="0"/>
        <v>0</v>
      </c>
      <c r="I11" s="156">
        <f t="shared" si="1"/>
        <v>2123.5500000000002</v>
      </c>
      <c r="J11" s="244">
        <v>5795</v>
      </c>
      <c r="K11" s="362">
        <v>38.61</v>
      </c>
    </row>
    <row r="12" spans="1:11" ht="13.8" x14ac:dyDescent="0.25">
      <c r="A12" s="61" t="s">
        <v>49</v>
      </c>
      <c r="B12" s="361" t="s">
        <v>192</v>
      </c>
      <c r="C12" s="251">
        <v>160</v>
      </c>
      <c r="D12" s="75" t="s">
        <v>90</v>
      </c>
      <c r="E12" s="155">
        <v>4.2300000000000004</v>
      </c>
      <c r="F12" s="156">
        <f>PRODUCT(E12,C12)</f>
        <v>676.80000000000007</v>
      </c>
      <c r="G12" s="156">
        <v>0</v>
      </c>
      <c r="H12" s="156">
        <f t="shared" si="0"/>
        <v>0</v>
      </c>
      <c r="I12" s="156">
        <f>SUM(F12+H12)</f>
        <v>676.80000000000007</v>
      </c>
      <c r="J12" s="245">
        <v>87444</v>
      </c>
      <c r="K12" s="363">
        <v>4.2300000000000004</v>
      </c>
    </row>
    <row r="13" spans="1:11" ht="14.4" thickBot="1" x14ac:dyDescent="0.3">
      <c r="A13" s="61"/>
      <c r="B13" s="364" t="s">
        <v>7</v>
      </c>
      <c r="C13" s="78"/>
      <c r="D13" s="79"/>
      <c r="E13" s="365"/>
      <c r="F13" s="158">
        <f>SUM(F6:F12)</f>
        <v>26755.54</v>
      </c>
      <c r="G13" s="365"/>
      <c r="H13" s="158"/>
      <c r="I13" s="366">
        <f>SUM(I6:I12)</f>
        <v>26755.54</v>
      </c>
      <c r="J13" s="367"/>
      <c r="K13" s="77"/>
    </row>
    <row r="14" spans="1:11" ht="14.4" thickBot="1" x14ac:dyDescent="0.3">
      <c r="A14" s="368"/>
      <c r="B14" s="443" t="s">
        <v>99</v>
      </c>
      <c r="C14" s="444"/>
      <c r="D14" s="444"/>
      <c r="E14" s="444"/>
      <c r="F14" s="444"/>
      <c r="G14" s="444"/>
      <c r="H14" s="369"/>
      <c r="I14" s="370">
        <f>SUM(I13)</f>
        <v>26755.54</v>
      </c>
      <c r="J14" s="87"/>
      <c r="K14" s="77"/>
    </row>
    <row r="15" spans="1:11" ht="14.4" thickBot="1" x14ac:dyDescent="0.3">
      <c r="A15" s="96"/>
      <c r="B15" s="445" t="s">
        <v>100</v>
      </c>
      <c r="C15" s="446"/>
      <c r="D15" s="446"/>
      <c r="E15" s="446"/>
      <c r="F15" s="446"/>
      <c r="G15" s="446"/>
      <c r="H15" s="371"/>
      <c r="I15" s="372">
        <v>0.24229999999999999</v>
      </c>
      <c r="J15" s="87"/>
      <c r="K15" s="77"/>
    </row>
    <row r="16" spans="1:11" ht="14.4" thickBot="1" x14ac:dyDescent="0.3">
      <c r="A16" s="373"/>
      <c r="B16" s="443" t="s">
        <v>101</v>
      </c>
      <c r="C16" s="444"/>
      <c r="D16" s="444"/>
      <c r="E16" s="444"/>
      <c r="F16" s="444"/>
      <c r="G16" s="444"/>
      <c r="H16" s="374"/>
      <c r="I16" s="375">
        <f>I14+(I14*I15)</f>
        <v>33238.407341999999</v>
      </c>
      <c r="J16" s="112"/>
      <c r="K16" s="376"/>
    </row>
    <row r="18" spans="1:11" ht="13.8" thickBot="1" x14ac:dyDescent="0.3"/>
    <row r="19" spans="1:11" ht="14.25" customHeight="1" thickBot="1" x14ac:dyDescent="0.3">
      <c r="A19" s="447" t="s">
        <v>193</v>
      </c>
      <c r="B19" s="448"/>
      <c r="C19" s="448"/>
      <c r="D19" s="448"/>
      <c r="E19" s="448"/>
      <c r="F19" s="449"/>
      <c r="G19" s="448" t="s">
        <v>127</v>
      </c>
      <c r="H19" s="448"/>
      <c r="I19" s="450"/>
      <c r="J19" s="58" t="s">
        <v>25</v>
      </c>
      <c r="K19" s="58" t="s">
        <v>41</v>
      </c>
    </row>
    <row r="20" spans="1:11" ht="13.8" x14ac:dyDescent="0.25">
      <c r="A20" s="451" t="s">
        <v>0</v>
      </c>
      <c r="B20" s="452" t="s">
        <v>98</v>
      </c>
      <c r="C20" s="452" t="s">
        <v>1</v>
      </c>
      <c r="D20" s="454" t="s">
        <v>2</v>
      </c>
      <c r="E20" s="455" t="s">
        <v>38</v>
      </c>
      <c r="F20" s="456"/>
      <c r="G20" s="455" t="s">
        <v>39</v>
      </c>
      <c r="H20" s="456"/>
      <c r="I20" s="457" t="s">
        <v>4</v>
      </c>
      <c r="J20" s="60" t="s">
        <v>26</v>
      </c>
      <c r="K20" s="60" t="s">
        <v>26</v>
      </c>
    </row>
    <row r="21" spans="1:11" ht="14.4" thickBot="1" x14ac:dyDescent="0.3">
      <c r="A21" s="445"/>
      <c r="B21" s="453"/>
      <c r="C21" s="453"/>
      <c r="D21" s="446"/>
      <c r="E21" s="283" t="s">
        <v>3</v>
      </c>
      <c r="F21" s="284" t="s">
        <v>4</v>
      </c>
      <c r="G21" s="283" t="s">
        <v>3</v>
      </c>
      <c r="H21" s="284" t="s">
        <v>4</v>
      </c>
      <c r="I21" s="458"/>
      <c r="J21" s="69">
        <v>45931</v>
      </c>
      <c r="K21" s="63" t="s">
        <v>42</v>
      </c>
    </row>
    <row r="22" spans="1:11" ht="13.8" x14ac:dyDescent="0.25">
      <c r="A22" s="261" t="s">
        <v>33</v>
      </c>
      <c r="B22" s="287" t="s">
        <v>38</v>
      </c>
      <c r="C22" s="288"/>
      <c r="D22" s="289"/>
      <c r="E22" s="290"/>
      <c r="F22" s="291"/>
      <c r="G22" s="290"/>
      <c r="H22" s="292"/>
      <c r="I22" s="293"/>
      <c r="J22" s="161"/>
      <c r="K22" s="296"/>
    </row>
    <row r="23" spans="1:11" ht="13.8" x14ac:dyDescent="0.25">
      <c r="A23" s="254" t="s">
        <v>5</v>
      </c>
      <c r="B23" s="71" t="s">
        <v>43</v>
      </c>
      <c r="C23" s="239">
        <v>5</v>
      </c>
      <c r="D23" s="75" t="s">
        <v>128</v>
      </c>
      <c r="E23" s="118">
        <v>0.9</v>
      </c>
      <c r="F23" s="118">
        <f>PRODUCT(C23:E23)</f>
        <v>4.5</v>
      </c>
      <c r="G23" s="118">
        <v>0</v>
      </c>
      <c r="H23" s="118">
        <v>0</v>
      </c>
      <c r="I23" s="255">
        <f>SUM(F23+H23)</f>
        <v>4.5</v>
      </c>
      <c r="J23" s="278">
        <v>34753</v>
      </c>
      <c r="K23" s="256">
        <v>0.9</v>
      </c>
    </row>
    <row r="24" spans="1:11" ht="13.8" x14ac:dyDescent="0.25">
      <c r="A24" s="254" t="s">
        <v>13</v>
      </c>
      <c r="B24" s="71" t="s">
        <v>129</v>
      </c>
      <c r="C24" s="239">
        <v>0.14000000000000001</v>
      </c>
      <c r="D24" s="75" t="s">
        <v>8</v>
      </c>
      <c r="E24" s="118">
        <v>100</v>
      </c>
      <c r="F24" s="118">
        <f>PRODUCT(E24,C24)</f>
        <v>14.000000000000002</v>
      </c>
      <c r="G24" s="118">
        <v>0</v>
      </c>
      <c r="H24" s="118">
        <f>PRODUCT(G24,C24)</f>
        <v>0</v>
      </c>
      <c r="I24" s="255">
        <f>SUM(F24+H24)</f>
        <v>14.000000000000002</v>
      </c>
      <c r="J24" s="279">
        <v>370</v>
      </c>
      <c r="K24" s="256">
        <v>100</v>
      </c>
    </row>
    <row r="25" spans="1:11" ht="13.8" x14ac:dyDescent="0.25">
      <c r="A25" s="254" t="s">
        <v>20</v>
      </c>
      <c r="B25" s="71" t="s">
        <v>130</v>
      </c>
      <c r="C25" s="239">
        <v>2.4700000000000002</v>
      </c>
      <c r="D25" s="75" t="s">
        <v>128</v>
      </c>
      <c r="E25" s="118">
        <v>9.25</v>
      </c>
      <c r="F25" s="118">
        <f>PRODUCT(E25,C25)</f>
        <v>22.8475</v>
      </c>
      <c r="G25" s="118">
        <v>0</v>
      </c>
      <c r="H25" s="118">
        <f>PRODUCT(G25,C25)</f>
        <v>0</v>
      </c>
      <c r="I25" s="255">
        <f>SUM(F25+H25)</f>
        <v>22.8475</v>
      </c>
      <c r="J25" s="279">
        <v>43055</v>
      </c>
      <c r="K25" s="256">
        <v>9.25</v>
      </c>
    </row>
    <row r="26" spans="1:11" ht="13.8" x14ac:dyDescent="0.25">
      <c r="A26" s="254"/>
      <c r="B26" s="59" t="s">
        <v>7</v>
      </c>
      <c r="C26" s="75"/>
      <c r="D26" s="75"/>
      <c r="E26" s="118"/>
      <c r="F26" s="189">
        <f>SUM(F23:F25)</f>
        <v>41.347499999999997</v>
      </c>
      <c r="G26" s="118"/>
      <c r="H26" s="189"/>
      <c r="I26" s="294">
        <f>SUM(I23:I25)</f>
        <v>41.347499999999997</v>
      </c>
      <c r="J26" s="280"/>
      <c r="K26" s="260"/>
    </row>
    <row r="27" spans="1:11" ht="13.8" x14ac:dyDescent="0.25">
      <c r="A27" s="253" t="s">
        <v>34</v>
      </c>
      <c r="B27" s="286" t="s">
        <v>39</v>
      </c>
      <c r="C27" s="75"/>
      <c r="D27" s="75"/>
      <c r="E27" s="89"/>
      <c r="F27" s="74"/>
      <c r="G27" s="89"/>
      <c r="H27" s="74"/>
      <c r="I27" s="295"/>
      <c r="J27" s="281"/>
      <c r="K27" s="262"/>
    </row>
    <row r="28" spans="1:11" ht="13.8" x14ac:dyDescent="0.25">
      <c r="A28" s="254" t="s">
        <v>6</v>
      </c>
      <c r="B28" s="62" t="s">
        <v>136</v>
      </c>
      <c r="C28" s="239">
        <v>7.0000000000000007E-2</v>
      </c>
      <c r="D28" s="75" t="s">
        <v>90</v>
      </c>
      <c r="E28" s="118">
        <v>0</v>
      </c>
      <c r="F28" s="118">
        <f>PRODUCT(E28,C28)</f>
        <v>0</v>
      </c>
      <c r="G28" s="118">
        <v>99.98</v>
      </c>
      <c r="H28" s="118">
        <f>C28*G28</f>
        <v>6.9986000000000006</v>
      </c>
      <c r="I28" s="255">
        <f>SUM(F28+H28)</f>
        <v>6.9986000000000006</v>
      </c>
      <c r="J28" s="278">
        <v>4069</v>
      </c>
      <c r="K28" s="263">
        <v>99.98</v>
      </c>
    </row>
    <row r="29" spans="1:11" ht="13.8" x14ac:dyDescent="0.25">
      <c r="A29" s="254" t="s">
        <v>11</v>
      </c>
      <c r="B29" s="62" t="s">
        <v>143</v>
      </c>
      <c r="C29" s="239">
        <v>0.35</v>
      </c>
      <c r="D29" s="75" t="s">
        <v>90</v>
      </c>
      <c r="E29" s="118">
        <v>0</v>
      </c>
      <c r="F29" s="118">
        <f>PRODUCT(E29,C29)</f>
        <v>0</v>
      </c>
      <c r="G29" s="118">
        <v>22.85</v>
      </c>
      <c r="H29" s="118">
        <f>C29*G29</f>
        <v>7.9974999999999996</v>
      </c>
      <c r="I29" s="255">
        <f>SUM(F29+H29)</f>
        <v>7.9974999999999996</v>
      </c>
      <c r="J29" s="279">
        <v>378</v>
      </c>
      <c r="K29" s="264">
        <v>22.85</v>
      </c>
    </row>
    <row r="30" spans="1:11" ht="13.8" x14ac:dyDescent="0.25">
      <c r="A30" s="254"/>
      <c r="B30" s="59" t="s">
        <v>7</v>
      </c>
      <c r="C30" s="239"/>
      <c r="D30" s="75"/>
      <c r="E30" s="118"/>
      <c r="F30" s="189">
        <f>SUM(F28:F29)</f>
        <v>0</v>
      </c>
      <c r="G30" s="118"/>
      <c r="H30" s="189">
        <f>SUM(H26:H29)</f>
        <v>14.9961</v>
      </c>
      <c r="I30" s="294">
        <f>SUM(I28:I29)</f>
        <v>14.9961</v>
      </c>
      <c r="J30" s="279"/>
      <c r="K30" s="265"/>
    </row>
    <row r="31" spans="1:11" ht="13.8" x14ac:dyDescent="0.25">
      <c r="A31" s="253" t="s">
        <v>35</v>
      </c>
      <c r="B31" s="286" t="s">
        <v>66</v>
      </c>
      <c r="C31" s="75"/>
      <c r="D31" s="75"/>
      <c r="E31" s="89"/>
      <c r="F31" s="74"/>
      <c r="G31" s="89"/>
      <c r="H31" s="74"/>
      <c r="I31" s="295"/>
      <c r="J31" s="281"/>
      <c r="K31" s="262"/>
    </row>
    <row r="32" spans="1:11" ht="13.8" x14ac:dyDescent="0.25">
      <c r="A32" s="254" t="s">
        <v>12</v>
      </c>
      <c r="B32" s="62" t="s">
        <v>131</v>
      </c>
      <c r="C32" s="239">
        <v>0.2</v>
      </c>
      <c r="D32" s="75" t="s">
        <v>90</v>
      </c>
      <c r="E32" s="152">
        <v>4.2300000000000004</v>
      </c>
      <c r="F32" s="152">
        <f>C32*E32</f>
        <v>0.84600000000000009</v>
      </c>
      <c r="G32" s="152">
        <v>0</v>
      </c>
      <c r="H32" s="152">
        <f>PRODUCT(G32,C32)</f>
        <v>0</v>
      </c>
      <c r="I32" s="266">
        <f>SUM(F32+H32)</f>
        <v>0.84600000000000009</v>
      </c>
      <c r="J32" s="279">
        <v>646</v>
      </c>
      <c r="K32" s="267">
        <v>4.2300000000000004</v>
      </c>
    </row>
    <row r="33" spans="1:11" ht="13.8" x14ac:dyDescent="0.25">
      <c r="A33" s="254" t="s">
        <v>19</v>
      </c>
      <c r="B33" s="62" t="s">
        <v>68</v>
      </c>
      <c r="C33" s="239">
        <v>0.2</v>
      </c>
      <c r="D33" s="75" t="s">
        <v>90</v>
      </c>
      <c r="E33" s="152">
        <f>K33</f>
        <v>1.69</v>
      </c>
      <c r="F33" s="152">
        <f>C33*E33</f>
        <v>0.33800000000000002</v>
      </c>
      <c r="G33" s="152">
        <v>0</v>
      </c>
      <c r="H33" s="152">
        <f>PRODUCT(G33,C33)</f>
        <v>0</v>
      </c>
      <c r="I33" s="266">
        <f>SUM(F33+H33)</f>
        <v>0.33800000000000002</v>
      </c>
      <c r="J33" s="279">
        <v>10790</v>
      </c>
      <c r="K33" s="267">
        <v>1.69</v>
      </c>
    </row>
    <row r="34" spans="1:11" ht="13.8" x14ac:dyDescent="0.25">
      <c r="A34" s="254" t="s">
        <v>119</v>
      </c>
      <c r="B34" s="268" t="s">
        <v>132</v>
      </c>
      <c r="C34" s="239">
        <v>0.4</v>
      </c>
      <c r="D34" s="75" t="s">
        <v>90</v>
      </c>
      <c r="E34" s="152">
        <v>79.02</v>
      </c>
      <c r="F34" s="152">
        <f>C34*E34</f>
        <v>31.608000000000001</v>
      </c>
      <c r="G34" s="152">
        <v>0</v>
      </c>
      <c r="H34" s="152">
        <f>PRODUCT(G34,C34)</f>
        <v>0</v>
      </c>
      <c r="I34" s="266">
        <f>SUM(F34+H34)</f>
        <v>31.608000000000001</v>
      </c>
      <c r="J34" s="278">
        <v>93425</v>
      </c>
      <c r="K34" s="263">
        <v>79.02</v>
      </c>
    </row>
    <row r="35" spans="1:11" ht="14.4" thickBot="1" x14ac:dyDescent="0.3">
      <c r="A35" s="257"/>
      <c r="B35" s="258" t="s">
        <v>7</v>
      </c>
      <c r="C35" s="269"/>
      <c r="D35" s="269"/>
      <c r="E35" s="270"/>
      <c r="F35" s="259">
        <f>SUM(F32:F34)</f>
        <v>32.792000000000002</v>
      </c>
      <c r="G35" s="269"/>
      <c r="H35" s="271"/>
      <c r="I35" s="272">
        <f>SUM(I32:I34)</f>
        <v>32.792000000000002</v>
      </c>
      <c r="J35" s="282"/>
      <c r="K35" s="265"/>
    </row>
    <row r="36" spans="1:11" ht="14.4" thickBot="1" x14ac:dyDescent="0.3">
      <c r="A36" s="477" t="s">
        <v>99</v>
      </c>
      <c r="B36" s="478"/>
      <c r="C36" s="478"/>
      <c r="D36" s="478"/>
      <c r="E36" s="478"/>
      <c r="F36" s="478"/>
      <c r="G36" s="478"/>
      <c r="H36" s="479"/>
      <c r="I36" s="285">
        <f>I26+I30+I35</f>
        <v>89.135599999999997</v>
      </c>
      <c r="J36" s="273"/>
      <c r="K36" s="265"/>
    </row>
    <row r="37" spans="1:11" ht="14.4" thickBot="1" x14ac:dyDescent="0.3">
      <c r="A37" s="463" t="s">
        <v>100</v>
      </c>
      <c r="B37" s="464"/>
      <c r="C37" s="464"/>
      <c r="D37" s="464"/>
      <c r="E37" s="464"/>
      <c r="F37" s="464"/>
      <c r="G37" s="464"/>
      <c r="H37" s="465"/>
      <c r="I37" s="274">
        <v>0.24229999999999999</v>
      </c>
      <c r="J37" s="273"/>
      <c r="K37" s="265"/>
    </row>
    <row r="38" spans="1:11" ht="14.4" thickBot="1" x14ac:dyDescent="0.3">
      <c r="A38" s="466" t="s">
        <v>101</v>
      </c>
      <c r="B38" s="467"/>
      <c r="C38" s="467"/>
      <c r="D38" s="467"/>
      <c r="E38" s="467"/>
      <c r="F38" s="467"/>
      <c r="G38" s="467"/>
      <c r="H38" s="468"/>
      <c r="I38" s="275">
        <f>I36+(I36*I37)</f>
        <v>110.73315588</v>
      </c>
      <c r="J38" s="276"/>
      <c r="K38" s="277"/>
    </row>
    <row r="40" spans="1:11" x14ac:dyDescent="0.25">
      <c r="B40" t="s">
        <v>133</v>
      </c>
    </row>
    <row r="42" spans="1:11" ht="13.8" thickBot="1" x14ac:dyDescent="0.3"/>
    <row r="43" spans="1:11" ht="14.4" thickBot="1" x14ac:dyDescent="0.3">
      <c r="A43" s="447" t="s">
        <v>198</v>
      </c>
      <c r="B43" s="448"/>
      <c r="C43" s="448"/>
      <c r="D43" s="448"/>
      <c r="E43" s="448"/>
      <c r="F43" s="449"/>
      <c r="G43" s="448" t="s">
        <v>226</v>
      </c>
      <c r="H43" s="448"/>
      <c r="I43" s="450"/>
      <c r="J43" s="58" t="s">
        <v>25</v>
      </c>
      <c r="K43" s="58" t="s">
        <v>41</v>
      </c>
    </row>
    <row r="44" spans="1:11" ht="13.8" x14ac:dyDescent="0.25">
      <c r="A44" s="451" t="s">
        <v>0</v>
      </c>
      <c r="B44" s="452" t="s">
        <v>98</v>
      </c>
      <c r="C44" s="452" t="s">
        <v>1</v>
      </c>
      <c r="D44" s="454" t="s">
        <v>2</v>
      </c>
      <c r="E44" s="455" t="s">
        <v>38</v>
      </c>
      <c r="F44" s="456"/>
      <c r="G44" s="455" t="s">
        <v>39</v>
      </c>
      <c r="H44" s="456"/>
      <c r="I44" s="457" t="s">
        <v>4</v>
      </c>
      <c r="J44" s="60" t="s">
        <v>26</v>
      </c>
      <c r="K44" s="60" t="s">
        <v>26</v>
      </c>
    </row>
    <row r="45" spans="1:11" ht="14.4" thickBot="1" x14ac:dyDescent="0.3">
      <c r="A45" s="445"/>
      <c r="B45" s="453"/>
      <c r="C45" s="453"/>
      <c r="D45" s="446"/>
      <c r="E45" s="283" t="s">
        <v>3</v>
      </c>
      <c r="F45" s="284" t="s">
        <v>4</v>
      </c>
      <c r="G45" s="283" t="s">
        <v>3</v>
      </c>
      <c r="H45" s="284" t="s">
        <v>4</v>
      </c>
      <c r="I45" s="458"/>
      <c r="J45" s="69">
        <v>45931</v>
      </c>
      <c r="K45" s="63" t="s">
        <v>42</v>
      </c>
    </row>
    <row r="46" spans="1:11" ht="13.8" x14ac:dyDescent="0.25">
      <c r="A46" s="261" t="s">
        <v>33</v>
      </c>
      <c r="B46" s="287" t="s">
        <v>38</v>
      </c>
      <c r="C46" s="288"/>
      <c r="D46" s="289"/>
      <c r="E46" s="290"/>
      <c r="F46" s="291"/>
      <c r="G46" s="290"/>
      <c r="H46" s="292"/>
      <c r="I46" s="293"/>
      <c r="J46" s="161"/>
      <c r="K46" s="296"/>
    </row>
    <row r="47" spans="1:11" ht="13.8" x14ac:dyDescent="0.25">
      <c r="A47" s="130" t="s">
        <v>5</v>
      </c>
      <c r="B47" s="298" t="s">
        <v>225</v>
      </c>
      <c r="C47" s="239">
        <v>18.84</v>
      </c>
      <c r="D47" s="301" t="s">
        <v>8</v>
      </c>
      <c r="E47" s="118">
        <v>629.36</v>
      </c>
      <c r="F47" s="118">
        <f>PRODUCT(C47:E47)</f>
        <v>11857.142400000001</v>
      </c>
      <c r="G47" s="118"/>
      <c r="H47" s="118"/>
      <c r="I47" s="255">
        <f>SUM(F47+H47)</f>
        <v>11857.142400000001</v>
      </c>
      <c r="J47" s="382">
        <v>102477</v>
      </c>
      <c r="K47" s="256">
        <v>6</v>
      </c>
    </row>
    <row r="48" spans="1:11" ht="13.8" x14ac:dyDescent="0.25">
      <c r="A48" s="130" t="s">
        <v>13</v>
      </c>
      <c r="B48" s="298" t="s">
        <v>148</v>
      </c>
      <c r="C48" s="239">
        <v>701.71199999999999</v>
      </c>
      <c r="D48" s="9" t="s">
        <v>128</v>
      </c>
      <c r="E48" s="118">
        <v>9.25</v>
      </c>
      <c r="F48" s="118">
        <f>PRODUCT(E48,C48)</f>
        <v>6490.8360000000002</v>
      </c>
      <c r="G48" s="118">
        <v>0</v>
      </c>
      <c r="H48" s="118">
        <f>PRODUCT(G48,C48)</f>
        <v>0</v>
      </c>
      <c r="I48" s="255">
        <f>SUM(F48+H48)</f>
        <v>6490.8360000000002</v>
      </c>
      <c r="J48" s="382">
        <v>43055</v>
      </c>
      <c r="K48" s="383">
        <v>3.48</v>
      </c>
    </row>
    <row r="49" spans="1:11" ht="13.8" x14ac:dyDescent="0.25">
      <c r="A49" s="130" t="s">
        <v>20</v>
      </c>
      <c r="B49" s="298" t="s">
        <v>164</v>
      </c>
      <c r="C49" s="239">
        <v>154.52799999999999</v>
      </c>
      <c r="D49" s="9" t="s">
        <v>128</v>
      </c>
      <c r="E49" s="118">
        <v>8.15</v>
      </c>
      <c r="F49" s="118">
        <f>PRODUCT(E49,C49)</f>
        <v>1259.4032</v>
      </c>
      <c r="G49" s="118">
        <v>0</v>
      </c>
      <c r="H49" s="118">
        <f>PRODUCT(G49,C49)</f>
        <v>0</v>
      </c>
      <c r="I49" s="255">
        <f>SUM(F49+H49)</f>
        <v>1259.4032</v>
      </c>
      <c r="J49" s="382">
        <v>43061</v>
      </c>
      <c r="K49" s="383">
        <v>3.62</v>
      </c>
    </row>
    <row r="50" spans="1:11" ht="13.8" x14ac:dyDescent="0.25">
      <c r="A50" s="130" t="s">
        <v>46</v>
      </c>
      <c r="B50" s="298" t="s">
        <v>201</v>
      </c>
      <c r="C50" s="239">
        <v>10</v>
      </c>
      <c r="D50" s="9" t="s">
        <v>95</v>
      </c>
      <c r="E50" s="118">
        <v>529.79</v>
      </c>
      <c r="F50" s="118">
        <f>PRODUCT(E50,C50)</f>
        <v>5297.9</v>
      </c>
      <c r="G50" s="118">
        <v>0</v>
      </c>
      <c r="H50" s="118">
        <f>PRODUCT(G50,C50)</f>
        <v>0</v>
      </c>
      <c r="I50" s="255">
        <f>SUM(F50+H50)</f>
        <v>5297.9</v>
      </c>
      <c r="J50" s="382">
        <v>7765</v>
      </c>
      <c r="K50" s="383">
        <v>249.72</v>
      </c>
    </row>
    <row r="51" spans="1:11" ht="13.8" x14ac:dyDescent="0.25">
      <c r="A51" s="130" t="s">
        <v>47</v>
      </c>
      <c r="B51" s="298" t="s">
        <v>149</v>
      </c>
      <c r="C51" s="239">
        <v>80</v>
      </c>
      <c r="D51" s="9" t="s">
        <v>128</v>
      </c>
      <c r="E51" s="118">
        <v>21.02</v>
      </c>
      <c r="F51" s="118">
        <f>PRODUCT(E51,C51)</f>
        <v>1681.6</v>
      </c>
      <c r="G51" s="118">
        <v>0</v>
      </c>
      <c r="H51" s="118">
        <f>PRODUCT(G51,C51)</f>
        <v>0</v>
      </c>
      <c r="I51" s="255">
        <f>SUM(F51+H51)</f>
        <v>1681.6</v>
      </c>
      <c r="J51" s="382">
        <v>43132</v>
      </c>
      <c r="K51" s="383">
        <v>7.99</v>
      </c>
    </row>
    <row r="52" spans="1:11" ht="13.8" x14ac:dyDescent="0.25">
      <c r="A52" s="254"/>
      <c r="B52" s="59" t="s">
        <v>7</v>
      </c>
      <c r="C52" s="75"/>
      <c r="D52" s="75"/>
      <c r="E52" s="118"/>
      <c r="F52" s="189">
        <f>SUM(F47:F51)</f>
        <v>26586.881600000001</v>
      </c>
      <c r="G52" s="118"/>
      <c r="H52" s="189"/>
      <c r="I52" s="294">
        <f>SUM(I47:I51)</f>
        <v>26586.881600000001</v>
      </c>
      <c r="J52" s="280"/>
      <c r="K52" s="260"/>
    </row>
    <row r="53" spans="1:11" ht="13.8" x14ac:dyDescent="0.25">
      <c r="A53" s="253" t="s">
        <v>34</v>
      </c>
      <c r="B53" s="286" t="s">
        <v>39</v>
      </c>
      <c r="C53" s="75"/>
      <c r="D53" s="75"/>
      <c r="E53" s="89"/>
      <c r="F53" s="74"/>
      <c r="G53" s="89"/>
      <c r="H53" s="74"/>
      <c r="I53" s="295"/>
      <c r="J53" s="281"/>
      <c r="K53" s="262"/>
    </row>
    <row r="54" spans="1:11" ht="13.8" x14ac:dyDescent="0.25">
      <c r="A54" s="130" t="s">
        <v>6</v>
      </c>
      <c r="B54" s="62" t="s">
        <v>136</v>
      </c>
      <c r="C54" s="302">
        <v>80</v>
      </c>
      <c r="D54" s="73" t="s">
        <v>90</v>
      </c>
      <c r="E54" s="32">
        <v>0</v>
      </c>
      <c r="F54" s="32">
        <f>PRODUCT(E54,C54)</f>
        <v>0</v>
      </c>
      <c r="G54" s="32">
        <v>99.98</v>
      </c>
      <c r="H54" s="32">
        <f>C54*G54</f>
        <v>7998.4000000000005</v>
      </c>
      <c r="I54" s="384">
        <f>SUM(F54+H54)</f>
        <v>7998.4000000000005</v>
      </c>
      <c r="J54" s="382">
        <v>4069</v>
      </c>
      <c r="K54" s="385">
        <v>44.57</v>
      </c>
    </row>
    <row r="55" spans="1:11" ht="13.8" x14ac:dyDescent="0.25">
      <c r="A55" s="130" t="s">
        <v>11</v>
      </c>
      <c r="B55" s="62" t="s">
        <v>137</v>
      </c>
      <c r="C55" s="300">
        <v>160</v>
      </c>
      <c r="D55" s="73" t="s">
        <v>90</v>
      </c>
      <c r="E55" s="32">
        <v>0</v>
      </c>
      <c r="F55" s="32">
        <f>PRODUCT(E55,C55)</f>
        <v>0</v>
      </c>
      <c r="G55" s="32">
        <v>15.68</v>
      </c>
      <c r="H55" s="32">
        <f>C55*G55</f>
        <v>2508.8000000000002</v>
      </c>
      <c r="I55" s="384">
        <f>SUM(F55+H55)</f>
        <v>2508.8000000000002</v>
      </c>
      <c r="J55" s="382">
        <v>1213</v>
      </c>
      <c r="K55" s="385">
        <v>13.04</v>
      </c>
    </row>
    <row r="56" spans="1:11" ht="13.8" x14ac:dyDescent="0.25">
      <c r="A56" s="130" t="s">
        <v>53</v>
      </c>
      <c r="B56" s="62" t="s">
        <v>138</v>
      </c>
      <c r="C56" s="300">
        <v>160</v>
      </c>
      <c r="D56" s="73" t="s">
        <v>90</v>
      </c>
      <c r="E56" s="32">
        <v>0</v>
      </c>
      <c r="F56" s="32">
        <f>PRODUCT(E56,C56)</f>
        <v>0</v>
      </c>
      <c r="G56" s="32">
        <v>18.559999999999999</v>
      </c>
      <c r="H56" s="32">
        <f>C56*G56</f>
        <v>2969.6</v>
      </c>
      <c r="I56" s="384">
        <f>SUM(F56+H56)</f>
        <v>2969.6</v>
      </c>
      <c r="J56" s="382">
        <v>4750</v>
      </c>
      <c r="K56" s="385">
        <v>13.04</v>
      </c>
    </row>
    <row r="57" spans="1:11" ht="13.8" x14ac:dyDescent="0.25">
      <c r="A57" s="130" t="s">
        <v>54</v>
      </c>
      <c r="B57" s="62" t="s">
        <v>143</v>
      </c>
      <c r="C57" s="300">
        <v>160</v>
      </c>
      <c r="D57" s="73" t="s">
        <v>90</v>
      </c>
      <c r="E57" s="32">
        <v>0</v>
      </c>
      <c r="F57" s="32">
        <f>PRODUCT(E57,C57)</f>
        <v>0</v>
      </c>
      <c r="G57" s="32">
        <v>18.559999999999999</v>
      </c>
      <c r="H57" s="32">
        <f>C57*G57</f>
        <v>2969.6</v>
      </c>
      <c r="I57" s="384">
        <f>SUM(F57+H57)</f>
        <v>2969.6</v>
      </c>
      <c r="J57" s="382">
        <v>378</v>
      </c>
      <c r="K57" s="385">
        <v>13.04</v>
      </c>
    </row>
    <row r="58" spans="1:11" ht="13.8" x14ac:dyDescent="0.25">
      <c r="A58" s="130" t="s">
        <v>55</v>
      </c>
      <c r="B58" s="62" t="s">
        <v>139</v>
      </c>
      <c r="C58" s="300">
        <v>240</v>
      </c>
      <c r="D58" s="73" t="s">
        <v>90</v>
      </c>
      <c r="E58" s="32">
        <v>0</v>
      </c>
      <c r="F58" s="32">
        <f>PRODUCT(E58,C58)</f>
        <v>0</v>
      </c>
      <c r="G58" s="32">
        <v>14.58</v>
      </c>
      <c r="H58" s="32">
        <f>C58*G58</f>
        <v>3499.2</v>
      </c>
      <c r="I58" s="384">
        <f>SUM(F58+H58)</f>
        <v>3499.2</v>
      </c>
      <c r="J58" s="382">
        <v>6111</v>
      </c>
      <c r="K58" s="385">
        <v>9.9600000000000009</v>
      </c>
    </row>
    <row r="59" spans="1:11" ht="13.8" x14ac:dyDescent="0.25">
      <c r="A59" s="254"/>
      <c r="B59" s="59" t="s">
        <v>7</v>
      </c>
      <c r="C59" s="239"/>
      <c r="D59" s="75"/>
      <c r="E59" s="118"/>
      <c r="F59" s="189">
        <f>SUM(F54:F58)</f>
        <v>0</v>
      </c>
      <c r="G59" s="118"/>
      <c r="H59" s="189">
        <f>SUM(H54:H58)</f>
        <v>19945.600000000002</v>
      </c>
      <c r="I59" s="189">
        <f>SUM(I54:I58)</f>
        <v>19945.600000000002</v>
      </c>
      <c r="J59" s="279"/>
      <c r="K59" s="265"/>
    </row>
    <row r="60" spans="1:11" ht="13.8" x14ac:dyDescent="0.25">
      <c r="A60" s="253" t="s">
        <v>35</v>
      </c>
      <c r="B60" s="286" t="s">
        <v>66</v>
      </c>
      <c r="C60" s="75"/>
      <c r="D60" s="75"/>
      <c r="E60" s="89"/>
      <c r="F60" s="74"/>
      <c r="G60" s="89"/>
      <c r="H60" s="74"/>
      <c r="I60" s="295"/>
      <c r="J60" s="281"/>
      <c r="K60" s="262"/>
    </row>
    <row r="61" spans="1:11" ht="13.8" x14ac:dyDescent="0.25">
      <c r="A61" s="130" t="s">
        <v>12</v>
      </c>
      <c r="B61" s="304" t="s">
        <v>131</v>
      </c>
      <c r="C61" s="300">
        <v>80</v>
      </c>
      <c r="D61" s="75" t="s">
        <v>90</v>
      </c>
      <c r="E61" s="152">
        <v>4.2300000000000004</v>
      </c>
      <c r="F61" s="152">
        <v>338.4</v>
      </c>
      <c r="G61" s="152">
        <v>0</v>
      </c>
      <c r="H61" s="152">
        <f>PRODUCT(G61,C61)</f>
        <v>0</v>
      </c>
      <c r="I61" s="266">
        <f>SUM(F61+H61)</f>
        <v>338.4</v>
      </c>
      <c r="J61" s="382">
        <v>646</v>
      </c>
      <c r="K61" s="386">
        <v>3.82</v>
      </c>
    </row>
    <row r="62" spans="1:11" ht="13.8" x14ac:dyDescent="0.25">
      <c r="A62" s="130" t="s">
        <v>19</v>
      </c>
      <c r="B62" s="304" t="s">
        <v>68</v>
      </c>
      <c r="C62" s="300">
        <v>240</v>
      </c>
      <c r="D62" s="75" t="s">
        <v>90</v>
      </c>
      <c r="E62" s="152">
        <f>K62</f>
        <v>1.69</v>
      </c>
      <c r="F62" s="152">
        <f>C62*E62</f>
        <v>405.59999999999997</v>
      </c>
      <c r="G62" s="152">
        <v>0</v>
      </c>
      <c r="H62" s="152">
        <f>PRODUCT(G62,C62)</f>
        <v>0</v>
      </c>
      <c r="I62" s="266">
        <f>SUM(F62+H62)</f>
        <v>405.59999999999997</v>
      </c>
      <c r="J62" s="382">
        <v>10790</v>
      </c>
      <c r="K62" s="386">
        <v>1.69</v>
      </c>
    </row>
    <row r="63" spans="1:11" ht="13.8" x14ac:dyDescent="0.25">
      <c r="A63" s="130" t="s">
        <v>119</v>
      </c>
      <c r="B63" s="304" t="s">
        <v>67</v>
      </c>
      <c r="C63" s="305">
        <v>128</v>
      </c>
      <c r="D63" s="75" t="s">
        <v>90</v>
      </c>
      <c r="E63" s="152">
        <f>K63</f>
        <v>2.96</v>
      </c>
      <c r="F63" s="152">
        <f>C63*E63</f>
        <v>378.88</v>
      </c>
      <c r="G63" s="152">
        <v>0</v>
      </c>
      <c r="H63" s="152">
        <f>PRODUCT(G63,C63)</f>
        <v>0</v>
      </c>
      <c r="I63" s="266">
        <f>SUM(F63+H63)</f>
        <v>378.88</v>
      </c>
      <c r="J63" s="382">
        <v>10486</v>
      </c>
      <c r="K63" s="385">
        <v>2.96</v>
      </c>
    </row>
    <row r="64" spans="1:11" ht="15" customHeight="1" x14ac:dyDescent="0.25">
      <c r="A64" s="130" t="s">
        <v>118</v>
      </c>
      <c r="B64" s="378" t="s">
        <v>132</v>
      </c>
      <c r="C64" s="300">
        <v>320</v>
      </c>
      <c r="D64" s="79" t="s">
        <v>90</v>
      </c>
      <c r="E64" s="152">
        <f>K64</f>
        <v>10.26</v>
      </c>
      <c r="F64" s="152">
        <f>C64*E64</f>
        <v>3283.2</v>
      </c>
      <c r="G64" s="152">
        <v>0</v>
      </c>
      <c r="H64" s="152">
        <f>PRODUCT(G64,C64)</f>
        <v>0</v>
      </c>
      <c r="I64" s="266">
        <f>SUM(F64+H64)</f>
        <v>3283.2</v>
      </c>
      <c r="J64" s="382">
        <v>3345</v>
      </c>
      <c r="K64" s="385">
        <v>10.26</v>
      </c>
    </row>
    <row r="65" spans="1:11" ht="13.8" x14ac:dyDescent="0.25">
      <c r="A65" s="130" t="s">
        <v>134</v>
      </c>
      <c r="B65" s="304" t="s">
        <v>202</v>
      </c>
      <c r="C65" s="300">
        <v>16</v>
      </c>
      <c r="D65" s="79" t="s">
        <v>90</v>
      </c>
      <c r="E65" s="152">
        <v>335.65</v>
      </c>
      <c r="F65" s="152">
        <f>C65*E65</f>
        <v>5370.4</v>
      </c>
      <c r="G65" s="152">
        <v>0</v>
      </c>
      <c r="H65" s="152">
        <f>PRODUCT(G65,C65)</f>
        <v>0</v>
      </c>
      <c r="I65" s="266">
        <f>SUM(F65+H65)</f>
        <v>5370.4</v>
      </c>
      <c r="J65" s="382">
        <v>15984</v>
      </c>
      <c r="K65" s="385">
        <v>117</v>
      </c>
    </row>
    <row r="66" spans="1:11" ht="14.4" thickBot="1" x14ac:dyDescent="0.3">
      <c r="A66" s="257"/>
      <c r="B66" s="258" t="s">
        <v>7</v>
      </c>
      <c r="C66" s="269"/>
      <c r="D66" s="269"/>
      <c r="E66" s="270"/>
      <c r="F66" s="259">
        <f>SUM(F61:F65)</f>
        <v>9776.48</v>
      </c>
      <c r="G66" s="269"/>
      <c r="H66" s="271"/>
      <c r="I66" s="272">
        <f>SUM(I61:I65)</f>
        <v>9776.48</v>
      </c>
      <c r="J66" s="282"/>
      <c r="K66" s="265"/>
    </row>
    <row r="67" spans="1:11" ht="14.4" thickBot="1" x14ac:dyDescent="0.3">
      <c r="A67" s="477" t="s">
        <v>99</v>
      </c>
      <c r="B67" s="478"/>
      <c r="C67" s="478"/>
      <c r="D67" s="478"/>
      <c r="E67" s="478"/>
      <c r="F67" s="478"/>
      <c r="G67" s="478"/>
      <c r="H67" s="479"/>
      <c r="I67" s="285">
        <f>I52+I59+I66</f>
        <v>56308.961599999995</v>
      </c>
      <c r="J67" s="273"/>
      <c r="K67" s="265"/>
    </row>
    <row r="68" spans="1:11" ht="14.4" thickBot="1" x14ac:dyDescent="0.3">
      <c r="A68" s="463" t="s">
        <v>100</v>
      </c>
      <c r="B68" s="464"/>
      <c r="C68" s="464"/>
      <c r="D68" s="464"/>
      <c r="E68" s="464"/>
      <c r="F68" s="464"/>
      <c r="G68" s="464"/>
      <c r="H68" s="465"/>
      <c r="I68" s="274">
        <v>0.24229999999999999</v>
      </c>
      <c r="J68" s="273"/>
      <c r="K68" s="265"/>
    </row>
    <row r="69" spans="1:11" ht="14.4" thickBot="1" x14ac:dyDescent="0.3">
      <c r="A69" s="466" t="s">
        <v>101</v>
      </c>
      <c r="B69" s="467"/>
      <c r="C69" s="467"/>
      <c r="D69" s="467"/>
      <c r="E69" s="467"/>
      <c r="F69" s="467"/>
      <c r="G69" s="467"/>
      <c r="H69" s="468"/>
      <c r="I69" s="275">
        <f>I67+(I67*I68)</f>
        <v>69952.622995679994</v>
      </c>
      <c r="J69" s="276"/>
      <c r="K69" s="277"/>
    </row>
    <row r="70" spans="1:11" ht="14.4" thickBot="1" x14ac:dyDescent="0.3">
      <c r="A70" s="466" t="s">
        <v>214</v>
      </c>
      <c r="B70" s="467"/>
      <c r="C70" s="467"/>
      <c r="D70" s="467"/>
      <c r="E70" s="467"/>
      <c r="F70" s="467"/>
      <c r="G70" s="467"/>
      <c r="H70" s="468"/>
      <c r="I70" s="275">
        <f>I67/C47</f>
        <v>2988.7983864118892</v>
      </c>
      <c r="J70" s="276"/>
      <c r="K70" s="277"/>
    </row>
    <row r="72" spans="1:11" ht="13.8" thickBot="1" x14ac:dyDescent="0.3"/>
    <row r="73" spans="1:11" ht="14.4" thickBot="1" x14ac:dyDescent="0.3">
      <c r="A73" s="447" t="s">
        <v>203</v>
      </c>
      <c r="B73" s="448"/>
      <c r="C73" s="448"/>
      <c r="D73" s="448"/>
      <c r="E73" s="448"/>
      <c r="F73" s="449"/>
      <c r="G73" s="448" t="s">
        <v>199</v>
      </c>
      <c r="H73" s="448"/>
      <c r="I73" s="450"/>
      <c r="J73" s="58" t="s">
        <v>25</v>
      </c>
      <c r="K73" s="58" t="s">
        <v>41</v>
      </c>
    </row>
    <row r="74" spans="1:11" ht="13.8" x14ac:dyDescent="0.25">
      <c r="A74" s="451" t="s">
        <v>0</v>
      </c>
      <c r="B74" s="452" t="s">
        <v>98</v>
      </c>
      <c r="C74" s="452" t="s">
        <v>1</v>
      </c>
      <c r="D74" s="454" t="s">
        <v>2</v>
      </c>
      <c r="E74" s="455" t="s">
        <v>38</v>
      </c>
      <c r="F74" s="456"/>
      <c r="G74" s="455" t="s">
        <v>39</v>
      </c>
      <c r="H74" s="456"/>
      <c r="I74" s="457" t="s">
        <v>4</v>
      </c>
      <c r="J74" s="60" t="s">
        <v>26</v>
      </c>
      <c r="K74" s="60" t="s">
        <v>26</v>
      </c>
    </row>
    <row r="75" spans="1:11" ht="14.4" thickBot="1" x14ac:dyDescent="0.3">
      <c r="A75" s="445"/>
      <c r="B75" s="453"/>
      <c r="C75" s="453"/>
      <c r="D75" s="446"/>
      <c r="E75" s="283" t="s">
        <v>3</v>
      </c>
      <c r="F75" s="284" t="s">
        <v>4</v>
      </c>
      <c r="G75" s="283" t="s">
        <v>3</v>
      </c>
      <c r="H75" s="284" t="s">
        <v>4</v>
      </c>
      <c r="I75" s="458"/>
      <c r="J75" s="69">
        <v>45931</v>
      </c>
      <c r="K75" s="63" t="s">
        <v>42</v>
      </c>
    </row>
    <row r="76" spans="1:11" ht="13.8" x14ac:dyDescent="0.25">
      <c r="A76" s="261" t="s">
        <v>33</v>
      </c>
      <c r="B76" s="287" t="s">
        <v>38</v>
      </c>
      <c r="C76" s="288"/>
      <c r="D76" s="289"/>
      <c r="E76" s="290"/>
      <c r="F76" s="291"/>
      <c r="G76" s="290"/>
      <c r="H76" s="292"/>
      <c r="I76" s="293"/>
      <c r="J76" s="161"/>
      <c r="K76" s="296"/>
    </row>
    <row r="77" spans="1:11" ht="13.8" x14ac:dyDescent="0.25">
      <c r="A77" s="130" t="s">
        <v>5</v>
      </c>
      <c r="B77" s="298" t="s">
        <v>227</v>
      </c>
      <c r="C77" s="251">
        <v>20.51</v>
      </c>
      <c r="D77" s="301" t="s">
        <v>8</v>
      </c>
      <c r="E77" s="118">
        <v>629.36</v>
      </c>
      <c r="F77" s="118">
        <f>PRODUCT(C77:E77)</f>
        <v>12908.173600000002</v>
      </c>
      <c r="G77" s="118">
        <v>0</v>
      </c>
      <c r="H77" s="118">
        <v>0</v>
      </c>
      <c r="I77" s="255">
        <f t="shared" ref="I77:I84" si="2">SUM(F77+H77)</f>
        <v>12908.173600000002</v>
      </c>
      <c r="J77" s="382">
        <v>38408</v>
      </c>
      <c r="K77" s="256">
        <v>372.28</v>
      </c>
    </row>
    <row r="78" spans="1:11" ht="13.8" x14ac:dyDescent="0.25">
      <c r="A78" s="130" t="s">
        <v>13</v>
      </c>
      <c r="B78" s="298" t="s">
        <v>207</v>
      </c>
      <c r="C78" s="251">
        <v>1023.462</v>
      </c>
      <c r="D78" s="9" t="s">
        <v>128</v>
      </c>
      <c r="E78" s="118">
        <v>9.25</v>
      </c>
      <c r="F78" s="118">
        <f t="shared" ref="F78:F84" si="3">PRODUCT(E78,C78)</f>
        <v>9467.0234999999993</v>
      </c>
      <c r="G78" s="118">
        <v>0</v>
      </c>
      <c r="H78" s="118">
        <f t="shared" ref="H78:H84" si="4">PRODUCT(G78,C78)</f>
        <v>0</v>
      </c>
      <c r="I78" s="255">
        <f t="shared" si="2"/>
        <v>9467.0234999999993</v>
      </c>
      <c r="J78" s="382">
        <v>43055</v>
      </c>
      <c r="K78" s="383">
        <v>3.48</v>
      </c>
    </row>
    <row r="79" spans="1:11" ht="13.8" x14ac:dyDescent="0.25">
      <c r="A79" s="130" t="s">
        <v>20</v>
      </c>
      <c r="B79" s="298" t="s">
        <v>204</v>
      </c>
      <c r="C79" s="251">
        <v>125.004</v>
      </c>
      <c r="D79" s="9" t="s">
        <v>128</v>
      </c>
      <c r="E79" s="118">
        <v>9.25</v>
      </c>
      <c r="F79" s="118">
        <f t="shared" si="3"/>
        <v>1156.287</v>
      </c>
      <c r="G79" s="118">
        <v>0</v>
      </c>
      <c r="H79" s="118">
        <f t="shared" si="4"/>
        <v>0</v>
      </c>
      <c r="I79" s="255">
        <f t="shared" si="2"/>
        <v>1156.287</v>
      </c>
      <c r="J79" s="382">
        <v>43055</v>
      </c>
      <c r="K79" s="383">
        <v>3.48</v>
      </c>
    </row>
    <row r="80" spans="1:11" ht="13.8" x14ac:dyDescent="0.25">
      <c r="A80" s="130" t="s">
        <v>46</v>
      </c>
      <c r="B80" s="298" t="s">
        <v>205</v>
      </c>
      <c r="C80" s="251">
        <v>369.16000000000008</v>
      </c>
      <c r="D80" s="9" t="s">
        <v>128</v>
      </c>
      <c r="E80" s="118">
        <v>9.14</v>
      </c>
      <c r="F80" s="118">
        <f t="shared" si="3"/>
        <v>3374.1224000000011</v>
      </c>
      <c r="G80" s="118">
        <v>0</v>
      </c>
      <c r="H80" s="118">
        <f t="shared" si="4"/>
        <v>0</v>
      </c>
      <c r="I80" s="255">
        <f t="shared" si="2"/>
        <v>3374.1224000000011</v>
      </c>
      <c r="J80" s="382">
        <v>33</v>
      </c>
      <c r="K80" s="383">
        <v>4.3</v>
      </c>
    </row>
    <row r="81" spans="1:11" ht="13.8" x14ac:dyDescent="0.25">
      <c r="A81" s="130" t="s">
        <v>47</v>
      </c>
      <c r="B81" s="298" t="s">
        <v>91</v>
      </c>
      <c r="C81" s="251">
        <v>48.510000000000005</v>
      </c>
      <c r="D81" s="9" t="s">
        <v>16</v>
      </c>
      <c r="E81" s="118">
        <v>101.55</v>
      </c>
      <c r="F81" s="118">
        <f t="shared" si="3"/>
        <v>4926.1905000000006</v>
      </c>
      <c r="G81" s="118">
        <v>0</v>
      </c>
      <c r="H81" s="118">
        <f t="shared" si="4"/>
        <v>0</v>
      </c>
      <c r="I81" s="255">
        <f t="shared" si="2"/>
        <v>4926.1905000000006</v>
      </c>
      <c r="J81" s="382">
        <v>1345</v>
      </c>
      <c r="K81" s="383">
        <v>36.92</v>
      </c>
    </row>
    <row r="82" spans="1:11" ht="13.8" x14ac:dyDescent="0.25">
      <c r="A82" s="130" t="s">
        <v>48</v>
      </c>
      <c r="B82" s="298" t="s">
        <v>206</v>
      </c>
      <c r="C82" s="251">
        <v>160</v>
      </c>
      <c r="D82" s="9" t="s">
        <v>10</v>
      </c>
      <c r="E82" s="118">
        <f>K82</f>
        <v>7.66</v>
      </c>
      <c r="F82" s="118">
        <f t="shared" si="3"/>
        <v>1225.5999999999999</v>
      </c>
      <c r="G82" s="118">
        <v>0</v>
      </c>
      <c r="H82" s="118">
        <f t="shared" si="4"/>
        <v>0</v>
      </c>
      <c r="I82" s="255">
        <f t="shared" si="2"/>
        <v>1225.5999999999999</v>
      </c>
      <c r="J82" s="382">
        <v>6193</v>
      </c>
      <c r="K82" s="383">
        <v>7.66</v>
      </c>
    </row>
    <row r="83" spans="1:11" ht="13.8" x14ac:dyDescent="0.25">
      <c r="A83" s="130" t="s">
        <v>49</v>
      </c>
      <c r="B83" s="298" t="s">
        <v>51</v>
      </c>
      <c r="C83" s="251">
        <v>13.72</v>
      </c>
      <c r="D83" s="9" t="s">
        <v>52</v>
      </c>
      <c r="E83" s="118">
        <v>7.1</v>
      </c>
      <c r="F83" s="118">
        <f t="shared" si="3"/>
        <v>97.412000000000006</v>
      </c>
      <c r="G83" s="118">
        <v>0</v>
      </c>
      <c r="H83" s="118">
        <f t="shared" si="4"/>
        <v>0</v>
      </c>
      <c r="I83" s="255">
        <f t="shared" si="2"/>
        <v>97.412000000000006</v>
      </c>
      <c r="J83" s="382">
        <v>2692</v>
      </c>
      <c r="K83" s="383">
        <v>4.8600000000000003</v>
      </c>
    </row>
    <row r="84" spans="1:11" ht="13.8" x14ac:dyDescent="0.25">
      <c r="A84" s="130" t="s">
        <v>50</v>
      </c>
      <c r="B84" s="298" t="s">
        <v>149</v>
      </c>
      <c r="C84" s="251">
        <v>57.36</v>
      </c>
      <c r="D84" s="9" t="s">
        <v>128</v>
      </c>
      <c r="E84" s="118">
        <v>21.02</v>
      </c>
      <c r="F84" s="118">
        <f t="shared" si="3"/>
        <v>1205.7072000000001</v>
      </c>
      <c r="G84" s="118">
        <v>0</v>
      </c>
      <c r="H84" s="118">
        <f t="shared" si="4"/>
        <v>0</v>
      </c>
      <c r="I84" s="255">
        <f t="shared" si="2"/>
        <v>1205.7072000000001</v>
      </c>
      <c r="J84" s="382">
        <v>43132</v>
      </c>
      <c r="K84" s="383">
        <v>7.99</v>
      </c>
    </row>
    <row r="85" spans="1:11" ht="13.8" x14ac:dyDescent="0.25">
      <c r="A85" s="254"/>
      <c r="B85" s="59" t="s">
        <v>7</v>
      </c>
      <c r="C85" s="251"/>
      <c r="D85" s="75"/>
      <c r="E85" s="118"/>
      <c r="F85" s="189">
        <f>SUM(F77:F84)</f>
        <v>34360.516199999998</v>
      </c>
      <c r="G85" s="118"/>
      <c r="H85" s="189"/>
      <c r="I85" s="294">
        <f>SUM(I77:I84)</f>
        <v>34360.516199999998</v>
      </c>
      <c r="J85" s="280"/>
      <c r="K85" s="260"/>
    </row>
    <row r="86" spans="1:11" ht="13.8" x14ac:dyDescent="0.25">
      <c r="A86" s="253" t="s">
        <v>34</v>
      </c>
      <c r="B86" s="286" t="s">
        <v>39</v>
      </c>
      <c r="C86" s="251"/>
      <c r="D86" s="75"/>
      <c r="E86" s="89"/>
      <c r="F86" s="74"/>
      <c r="G86" s="89"/>
      <c r="H86" s="74"/>
      <c r="I86" s="295"/>
      <c r="J86" s="281"/>
      <c r="K86" s="262"/>
    </row>
    <row r="87" spans="1:11" ht="13.8" x14ac:dyDescent="0.25">
      <c r="A87" s="130" t="s">
        <v>6</v>
      </c>
      <c r="B87" s="62" t="s">
        <v>136</v>
      </c>
      <c r="C87" s="393">
        <v>50</v>
      </c>
      <c r="D87" s="73" t="s">
        <v>90</v>
      </c>
      <c r="E87" s="32">
        <v>0</v>
      </c>
      <c r="F87" s="32">
        <f>PRODUCT(E87,C87)</f>
        <v>0</v>
      </c>
      <c r="G87" s="32">
        <v>99.98</v>
      </c>
      <c r="H87" s="32">
        <f>C87*G87</f>
        <v>4999</v>
      </c>
      <c r="I87" s="384">
        <f>SUM(F87+H87)</f>
        <v>4999</v>
      </c>
      <c r="J87" s="382">
        <v>4069</v>
      </c>
      <c r="K87" s="385">
        <v>44.57</v>
      </c>
    </row>
    <row r="88" spans="1:11" ht="13.8" x14ac:dyDescent="0.25">
      <c r="A88" s="130" t="s">
        <v>11</v>
      </c>
      <c r="B88" s="62" t="s">
        <v>137</v>
      </c>
      <c r="C88" s="18">
        <v>60</v>
      </c>
      <c r="D88" s="73" t="s">
        <v>90</v>
      </c>
      <c r="E88" s="32">
        <v>0</v>
      </c>
      <c r="F88" s="32">
        <f>PRODUCT(E88,C88)</f>
        <v>0</v>
      </c>
      <c r="G88" s="32">
        <v>15.68</v>
      </c>
      <c r="H88" s="32">
        <f>C88*G88</f>
        <v>940.8</v>
      </c>
      <c r="I88" s="384">
        <f>SUM(F88+H88)</f>
        <v>940.8</v>
      </c>
      <c r="J88" s="382">
        <v>1213</v>
      </c>
      <c r="K88" s="385">
        <v>13.04</v>
      </c>
    </row>
    <row r="89" spans="1:11" ht="13.8" x14ac:dyDescent="0.25">
      <c r="A89" s="130" t="s">
        <v>53</v>
      </c>
      <c r="B89" s="62" t="s">
        <v>138</v>
      </c>
      <c r="C89" s="18">
        <v>60</v>
      </c>
      <c r="D89" s="73" t="s">
        <v>90</v>
      </c>
      <c r="E89" s="32">
        <v>0</v>
      </c>
      <c r="F89" s="32">
        <f>PRODUCT(E89,C89)</f>
        <v>0</v>
      </c>
      <c r="G89" s="32">
        <v>18.559999999999999</v>
      </c>
      <c r="H89" s="32">
        <f>C89*G89</f>
        <v>1113.5999999999999</v>
      </c>
      <c r="I89" s="384">
        <f>SUM(F89+H89)</f>
        <v>1113.5999999999999</v>
      </c>
      <c r="J89" s="382">
        <v>4750</v>
      </c>
      <c r="K89" s="385">
        <v>13.04</v>
      </c>
    </row>
    <row r="90" spans="1:11" ht="13.8" x14ac:dyDescent="0.25">
      <c r="A90" s="130" t="s">
        <v>54</v>
      </c>
      <c r="B90" s="62" t="s">
        <v>143</v>
      </c>
      <c r="C90" s="18">
        <v>60</v>
      </c>
      <c r="D90" s="73" t="s">
        <v>90</v>
      </c>
      <c r="E90" s="32">
        <v>0</v>
      </c>
      <c r="F90" s="32">
        <f>PRODUCT(E90,C90)</f>
        <v>0</v>
      </c>
      <c r="G90" s="32">
        <v>18.559999999999999</v>
      </c>
      <c r="H90" s="32">
        <f>C90*G90</f>
        <v>1113.5999999999999</v>
      </c>
      <c r="I90" s="384">
        <f>SUM(F90+H90)</f>
        <v>1113.5999999999999</v>
      </c>
      <c r="J90" s="382">
        <v>378</v>
      </c>
      <c r="K90" s="385">
        <v>13.04</v>
      </c>
    </row>
    <row r="91" spans="1:11" ht="13.8" x14ac:dyDescent="0.25">
      <c r="A91" s="130" t="s">
        <v>55</v>
      </c>
      <c r="B91" s="62" t="s">
        <v>139</v>
      </c>
      <c r="C91" s="18">
        <v>100</v>
      </c>
      <c r="D91" s="73" t="s">
        <v>90</v>
      </c>
      <c r="E91" s="32">
        <v>0</v>
      </c>
      <c r="F91" s="32">
        <f>PRODUCT(E91,C91)</f>
        <v>0</v>
      </c>
      <c r="G91" s="32">
        <v>14.58</v>
      </c>
      <c r="H91" s="32">
        <f>C91*G91</f>
        <v>1458</v>
      </c>
      <c r="I91" s="384">
        <f>SUM(F91+H91)</f>
        <v>1458</v>
      </c>
      <c r="J91" s="382">
        <v>6111</v>
      </c>
      <c r="K91" s="385">
        <v>9.9600000000000009</v>
      </c>
    </row>
    <row r="92" spans="1:11" ht="13.8" x14ac:dyDescent="0.25">
      <c r="A92" s="254"/>
      <c r="B92" s="59" t="s">
        <v>7</v>
      </c>
      <c r="C92" s="251"/>
      <c r="D92" s="75"/>
      <c r="E92" s="118"/>
      <c r="F92" s="189">
        <f>SUM(F87:F91)</f>
        <v>0</v>
      </c>
      <c r="G92" s="118"/>
      <c r="H92" s="189">
        <f>SUM(H87:H91)</f>
        <v>9625</v>
      </c>
      <c r="I92" s="189">
        <f>SUM(I87:I91)</f>
        <v>9625</v>
      </c>
      <c r="J92" s="279"/>
      <c r="K92" s="265"/>
    </row>
    <row r="93" spans="1:11" ht="13.8" x14ac:dyDescent="0.25">
      <c r="A93" s="253" t="s">
        <v>35</v>
      </c>
      <c r="B93" s="286" t="s">
        <v>66</v>
      </c>
      <c r="C93" s="251"/>
      <c r="D93" s="75"/>
      <c r="E93" s="89"/>
      <c r="F93" s="74"/>
      <c r="G93" s="89"/>
      <c r="H93" s="74"/>
      <c r="I93" s="295"/>
      <c r="J93" s="281"/>
      <c r="K93" s="262"/>
    </row>
    <row r="94" spans="1:11" ht="13.8" x14ac:dyDescent="0.25">
      <c r="A94" s="130" t="s">
        <v>12</v>
      </c>
      <c r="B94" s="304" t="s">
        <v>131</v>
      </c>
      <c r="C94" s="18">
        <v>40</v>
      </c>
      <c r="D94" s="75" t="s">
        <v>90</v>
      </c>
      <c r="E94" s="152">
        <v>4.2300000000000004</v>
      </c>
      <c r="F94" s="152">
        <f>C94*E94</f>
        <v>169.20000000000002</v>
      </c>
      <c r="G94" s="152">
        <v>0</v>
      </c>
      <c r="H94" s="152">
        <f>PRODUCT(G94,C94)</f>
        <v>0</v>
      </c>
      <c r="I94" s="266">
        <f>SUM(F94+H94)</f>
        <v>169.20000000000002</v>
      </c>
      <c r="J94" s="382">
        <v>646</v>
      </c>
      <c r="K94" s="386">
        <v>3.82</v>
      </c>
    </row>
    <row r="95" spans="1:11" ht="13.8" x14ac:dyDescent="0.25">
      <c r="A95" s="130" t="s">
        <v>19</v>
      </c>
      <c r="B95" s="304" t="s">
        <v>68</v>
      </c>
      <c r="C95" s="18">
        <v>80</v>
      </c>
      <c r="D95" s="75" t="s">
        <v>90</v>
      </c>
      <c r="E95" s="152">
        <f>K95</f>
        <v>1.69</v>
      </c>
      <c r="F95" s="152">
        <f>C95*E95</f>
        <v>135.19999999999999</v>
      </c>
      <c r="G95" s="152">
        <v>0</v>
      </c>
      <c r="H95" s="152">
        <f>PRODUCT(G95,C95)</f>
        <v>0</v>
      </c>
      <c r="I95" s="266">
        <f>SUM(F95+H95)</f>
        <v>135.19999999999999</v>
      </c>
      <c r="J95" s="382">
        <v>10790</v>
      </c>
      <c r="K95" s="386">
        <v>1.69</v>
      </c>
    </row>
    <row r="96" spans="1:11" ht="13.8" x14ac:dyDescent="0.25">
      <c r="A96" s="130" t="s">
        <v>119</v>
      </c>
      <c r="B96" s="304" t="s">
        <v>67</v>
      </c>
      <c r="C96" s="394">
        <v>100</v>
      </c>
      <c r="D96" s="75" t="s">
        <v>90</v>
      </c>
      <c r="E96" s="152">
        <f>K96</f>
        <v>2.96</v>
      </c>
      <c r="F96" s="152">
        <f>C96*E96</f>
        <v>296</v>
      </c>
      <c r="G96" s="152">
        <v>0</v>
      </c>
      <c r="H96" s="152">
        <f>PRODUCT(G96,C96)</f>
        <v>0</v>
      </c>
      <c r="I96" s="266">
        <f>SUM(F96+H96)</f>
        <v>296</v>
      </c>
      <c r="J96" s="382">
        <v>10486</v>
      </c>
      <c r="K96" s="385">
        <v>2.96</v>
      </c>
    </row>
    <row r="97" spans="1:11" ht="15" customHeight="1" x14ac:dyDescent="0.25">
      <c r="A97" s="130" t="s">
        <v>118</v>
      </c>
      <c r="B97" s="378" t="s">
        <v>132</v>
      </c>
      <c r="C97" s="18">
        <v>100</v>
      </c>
      <c r="D97" s="79" t="s">
        <v>90</v>
      </c>
      <c r="E97" s="152">
        <f>K97</f>
        <v>10.26</v>
      </c>
      <c r="F97" s="152">
        <f>C97*E97</f>
        <v>1026</v>
      </c>
      <c r="G97" s="152">
        <v>0</v>
      </c>
      <c r="H97" s="152">
        <f>PRODUCT(G97,C97)</f>
        <v>0</v>
      </c>
      <c r="I97" s="266">
        <f>SUM(F97+H97)</f>
        <v>1026</v>
      </c>
      <c r="J97" s="382">
        <v>3345</v>
      </c>
      <c r="K97" s="385">
        <v>10.26</v>
      </c>
    </row>
    <row r="98" spans="1:11" ht="13.8" x14ac:dyDescent="0.25">
      <c r="A98" s="130" t="s">
        <v>134</v>
      </c>
      <c r="B98" s="304" t="s">
        <v>202</v>
      </c>
      <c r="C98" s="18">
        <v>20</v>
      </c>
      <c r="D98" s="79" t="s">
        <v>90</v>
      </c>
      <c r="E98" s="152">
        <v>335.65</v>
      </c>
      <c r="F98" s="152">
        <f>C98*E98</f>
        <v>6713</v>
      </c>
      <c r="G98" s="152">
        <v>0</v>
      </c>
      <c r="H98" s="152">
        <f>PRODUCT(G98,C98)</f>
        <v>0</v>
      </c>
      <c r="I98" s="266">
        <f>SUM(F98+H98)</f>
        <v>6713</v>
      </c>
      <c r="J98" s="382">
        <v>15984</v>
      </c>
      <c r="K98" s="385">
        <v>117</v>
      </c>
    </row>
    <row r="99" spans="1:11" ht="14.4" thickBot="1" x14ac:dyDescent="0.3">
      <c r="A99" s="257"/>
      <c r="B99" s="258" t="s">
        <v>7</v>
      </c>
      <c r="C99" s="269"/>
      <c r="D99" s="269"/>
      <c r="E99" s="270"/>
      <c r="F99" s="259">
        <f>SUM(F94:F98)</f>
        <v>8339.4</v>
      </c>
      <c r="G99" s="269"/>
      <c r="H99" s="271"/>
      <c r="I99" s="272">
        <f>SUM(I94:I98)</f>
        <v>8339.4</v>
      </c>
      <c r="J99" s="282"/>
      <c r="K99" s="265"/>
    </row>
    <row r="100" spans="1:11" ht="14.4" thickBot="1" x14ac:dyDescent="0.3">
      <c r="A100" s="477" t="s">
        <v>99</v>
      </c>
      <c r="B100" s="478"/>
      <c r="C100" s="478"/>
      <c r="D100" s="478"/>
      <c r="E100" s="478"/>
      <c r="F100" s="478"/>
      <c r="G100" s="478"/>
      <c r="H100" s="479"/>
      <c r="I100" s="285">
        <f>I85+I92+I99</f>
        <v>52324.9162</v>
      </c>
      <c r="J100" s="273"/>
      <c r="K100" s="265"/>
    </row>
    <row r="101" spans="1:11" ht="14.4" thickBot="1" x14ac:dyDescent="0.3">
      <c r="A101" s="463" t="s">
        <v>100</v>
      </c>
      <c r="B101" s="464"/>
      <c r="C101" s="464"/>
      <c r="D101" s="464"/>
      <c r="E101" s="464"/>
      <c r="F101" s="464"/>
      <c r="G101" s="464"/>
      <c r="H101" s="465"/>
      <c r="I101" s="274">
        <v>0.24229999999999999</v>
      </c>
      <c r="J101" s="273"/>
      <c r="K101" s="265"/>
    </row>
    <row r="102" spans="1:11" ht="14.4" thickBot="1" x14ac:dyDescent="0.3">
      <c r="A102" s="466" t="s">
        <v>101</v>
      </c>
      <c r="B102" s="467"/>
      <c r="C102" s="467"/>
      <c r="D102" s="467"/>
      <c r="E102" s="467"/>
      <c r="F102" s="467"/>
      <c r="G102" s="467"/>
      <c r="H102" s="468"/>
      <c r="I102" s="275">
        <f>I100+(I100*I101)</f>
        <v>65003.243395259997</v>
      </c>
      <c r="J102" s="276"/>
      <c r="K102" s="277"/>
    </row>
    <row r="103" spans="1:11" ht="14.4" thickBot="1" x14ac:dyDescent="0.3">
      <c r="A103" s="466" t="s">
        <v>214</v>
      </c>
      <c r="B103" s="467"/>
      <c r="C103" s="467"/>
      <c r="D103" s="467"/>
      <c r="E103" s="467"/>
      <c r="F103" s="467"/>
      <c r="G103" s="467"/>
      <c r="H103" s="468"/>
      <c r="I103" s="275">
        <f>I100/C77</f>
        <v>2551.1904534373475</v>
      </c>
      <c r="J103" s="276"/>
      <c r="K103" s="277"/>
    </row>
    <row r="107" spans="1:11" ht="13.8" thickBot="1" x14ac:dyDescent="0.3"/>
    <row r="108" spans="1:11" ht="14.4" thickBot="1" x14ac:dyDescent="0.3">
      <c r="A108" s="447" t="s">
        <v>220</v>
      </c>
      <c r="B108" s="448"/>
      <c r="C108" s="448"/>
      <c r="D108" s="448"/>
      <c r="E108" s="448"/>
      <c r="F108" s="449"/>
      <c r="G108" s="448" t="s">
        <v>199</v>
      </c>
      <c r="H108" s="448"/>
      <c r="I108" s="450"/>
      <c r="J108" s="58" t="s">
        <v>25</v>
      </c>
      <c r="K108" s="58" t="s">
        <v>41</v>
      </c>
    </row>
    <row r="109" spans="1:11" ht="13.8" x14ac:dyDescent="0.25">
      <c r="A109" s="451" t="s">
        <v>0</v>
      </c>
      <c r="B109" s="452" t="s">
        <v>98</v>
      </c>
      <c r="C109" s="452" t="s">
        <v>1</v>
      </c>
      <c r="D109" s="454" t="s">
        <v>2</v>
      </c>
      <c r="E109" s="455" t="s">
        <v>38</v>
      </c>
      <c r="F109" s="456"/>
      <c r="G109" s="455" t="s">
        <v>39</v>
      </c>
      <c r="H109" s="456"/>
      <c r="I109" s="457" t="s">
        <v>4</v>
      </c>
      <c r="J109" s="60" t="s">
        <v>26</v>
      </c>
      <c r="K109" s="60" t="s">
        <v>26</v>
      </c>
    </row>
    <row r="110" spans="1:11" ht="14.4" thickBot="1" x14ac:dyDescent="0.3">
      <c r="A110" s="445"/>
      <c r="B110" s="453"/>
      <c r="C110" s="453"/>
      <c r="D110" s="446"/>
      <c r="E110" s="283" t="s">
        <v>3</v>
      </c>
      <c r="F110" s="284" t="s">
        <v>4</v>
      </c>
      <c r="G110" s="283" t="s">
        <v>3</v>
      </c>
      <c r="H110" s="284" t="s">
        <v>4</v>
      </c>
      <c r="I110" s="458"/>
      <c r="J110" s="69">
        <v>45931</v>
      </c>
      <c r="K110" s="63" t="s">
        <v>42</v>
      </c>
    </row>
    <row r="111" spans="1:11" ht="13.8" x14ac:dyDescent="0.25">
      <c r="A111" s="261" t="s">
        <v>33</v>
      </c>
      <c r="B111" s="287" t="s">
        <v>38</v>
      </c>
      <c r="C111" s="288"/>
      <c r="D111" s="289"/>
      <c r="E111" s="290"/>
      <c r="F111" s="291"/>
      <c r="G111" s="290"/>
      <c r="H111" s="292"/>
      <c r="I111" s="293"/>
      <c r="J111" s="161"/>
      <c r="K111" s="296"/>
    </row>
    <row r="112" spans="1:11" ht="13.8" x14ac:dyDescent="0.25">
      <c r="A112" s="130" t="s">
        <v>5</v>
      </c>
      <c r="B112" s="298" t="s">
        <v>225</v>
      </c>
      <c r="C112" s="251">
        <v>12.048</v>
      </c>
      <c r="D112" s="301" t="s">
        <v>8</v>
      </c>
      <c r="E112" s="118">
        <v>629.36</v>
      </c>
      <c r="F112" s="118">
        <f>PRODUCT(C112:E112)</f>
        <v>7582.5292799999997</v>
      </c>
      <c r="G112" s="118">
        <v>0</v>
      </c>
      <c r="H112" s="118">
        <v>0</v>
      </c>
      <c r="I112" s="255">
        <f>SUM(F112+H112)</f>
        <v>7582.5292799999997</v>
      </c>
      <c r="J112" s="382">
        <v>38408</v>
      </c>
      <c r="K112" s="256">
        <v>372.28</v>
      </c>
    </row>
    <row r="113" spans="1:11" ht="13.8" x14ac:dyDescent="0.25">
      <c r="A113" s="130" t="s">
        <v>13</v>
      </c>
      <c r="B113" s="298" t="s">
        <v>207</v>
      </c>
      <c r="C113" s="251">
        <v>666.6</v>
      </c>
      <c r="D113" s="9" t="s">
        <v>128</v>
      </c>
      <c r="E113" s="118">
        <v>9.25</v>
      </c>
      <c r="F113" s="118">
        <f>PRODUCT(E113,C113)</f>
        <v>6166.05</v>
      </c>
      <c r="G113" s="118">
        <v>0</v>
      </c>
      <c r="H113" s="118">
        <f>PRODUCT(G113,C113)</f>
        <v>0</v>
      </c>
      <c r="I113" s="255">
        <f>SUM(F113+H113)</f>
        <v>6166.05</v>
      </c>
      <c r="J113" s="382">
        <v>43055</v>
      </c>
      <c r="K113" s="383">
        <v>3.48</v>
      </c>
    </row>
    <row r="114" spans="1:11" ht="13.8" x14ac:dyDescent="0.25">
      <c r="A114" s="130" t="s">
        <v>20</v>
      </c>
      <c r="B114" s="298" t="s">
        <v>164</v>
      </c>
      <c r="C114" s="251">
        <v>81.575999999999993</v>
      </c>
      <c r="D114" s="9" t="s">
        <v>128</v>
      </c>
      <c r="E114" s="118">
        <v>8.15</v>
      </c>
      <c r="F114" s="118">
        <f>PRODUCT(E114,C114)</f>
        <v>664.84439999999995</v>
      </c>
      <c r="G114" s="118">
        <v>0</v>
      </c>
      <c r="H114" s="118">
        <f>PRODUCT(G114,C114)</f>
        <v>0</v>
      </c>
      <c r="I114" s="255">
        <f>SUM(F114+H114)</f>
        <v>664.84439999999995</v>
      </c>
      <c r="J114" s="382">
        <v>43061</v>
      </c>
      <c r="K114" s="383">
        <v>3.62</v>
      </c>
    </row>
    <row r="115" spans="1:11" ht="13.8" x14ac:dyDescent="0.25">
      <c r="A115" s="130" t="s">
        <v>46</v>
      </c>
      <c r="B115" s="298" t="s">
        <v>149</v>
      </c>
      <c r="C115" s="251">
        <v>180</v>
      </c>
      <c r="D115" s="9" t="s">
        <v>128</v>
      </c>
      <c r="E115" s="118">
        <v>21.02</v>
      </c>
      <c r="F115" s="118">
        <f>PRODUCT(E115,C115)</f>
        <v>3783.6</v>
      </c>
      <c r="G115" s="118">
        <v>0</v>
      </c>
      <c r="H115" s="118">
        <f>PRODUCT(G115,C115)</f>
        <v>0</v>
      </c>
      <c r="I115" s="255">
        <f>SUM(F115+H115)</f>
        <v>3783.6</v>
      </c>
      <c r="J115" s="382">
        <v>43132</v>
      </c>
      <c r="K115" s="383">
        <v>7.99</v>
      </c>
    </row>
    <row r="116" spans="1:11" ht="13.8" x14ac:dyDescent="0.25">
      <c r="A116" s="254"/>
      <c r="B116" s="59" t="s">
        <v>7</v>
      </c>
      <c r="C116" s="251"/>
      <c r="D116" s="75"/>
      <c r="E116" s="118"/>
      <c r="F116" s="189">
        <f>SUM(F112:F115)</f>
        <v>18197.023679999998</v>
      </c>
      <c r="G116" s="118"/>
      <c r="H116" s="189"/>
      <c r="I116" s="294">
        <f>SUM(I112:I115)</f>
        <v>18197.023679999998</v>
      </c>
      <c r="J116" s="280"/>
      <c r="K116" s="260"/>
    </row>
    <row r="117" spans="1:11" ht="13.8" x14ac:dyDescent="0.25">
      <c r="A117" s="253" t="s">
        <v>34</v>
      </c>
      <c r="B117" s="286" t="s">
        <v>39</v>
      </c>
      <c r="C117" s="251"/>
      <c r="D117" s="75"/>
      <c r="E117" s="89"/>
      <c r="F117" s="74"/>
      <c r="G117" s="89"/>
      <c r="H117" s="74"/>
      <c r="I117" s="295"/>
      <c r="J117" s="281"/>
      <c r="K117" s="262"/>
    </row>
    <row r="118" spans="1:11" ht="13.8" x14ac:dyDescent="0.25">
      <c r="A118" s="130" t="s">
        <v>6</v>
      </c>
      <c r="B118" s="62" t="s">
        <v>136</v>
      </c>
      <c r="C118" s="393">
        <v>60</v>
      </c>
      <c r="D118" s="73" t="s">
        <v>90</v>
      </c>
      <c r="E118" s="32">
        <v>0</v>
      </c>
      <c r="F118" s="32">
        <f>PRODUCT(E118,C118)</f>
        <v>0</v>
      </c>
      <c r="G118" s="32">
        <v>99.98</v>
      </c>
      <c r="H118" s="32">
        <f>C118*G118</f>
        <v>5998.8</v>
      </c>
      <c r="I118" s="384">
        <f>SUM(F118+H118)</f>
        <v>5998.8</v>
      </c>
      <c r="J118" s="382">
        <v>4069</v>
      </c>
      <c r="K118" s="385">
        <v>44.57</v>
      </c>
    </row>
    <row r="119" spans="1:11" ht="13.8" x14ac:dyDescent="0.25">
      <c r="A119" s="130" t="s">
        <v>11</v>
      </c>
      <c r="B119" s="62" t="s">
        <v>137</v>
      </c>
      <c r="C119" s="18">
        <v>120</v>
      </c>
      <c r="D119" s="73" t="s">
        <v>90</v>
      </c>
      <c r="E119" s="32">
        <v>0</v>
      </c>
      <c r="F119" s="32">
        <f>PRODUCT(E119,C119)</f>
        <v>0</v>
      </c>
      <c r="G119" s="32">
        <v>15.68</v>
      </c>
      <c r="H119" s="32">
        <f>C119*G119</f>
        <v>1881.6</v>
      </c>
      <c r="I119" s="384">
        <f>SUM(F119+H119)</f>
        <v>1881.6</v>
      </c>
      <c r="J119" s="382">
        <v>1213</v>
      </c>
      <c r="K119" s="385">
        <v>13.04</v>
      </c>
    </row>
    <row r="120" spans="1:11" ht="13.8" x14ac:dyDescent="0.25">
      <c r="A120" s="130" t="s">
        <v>53</v>
      </c>
      <c r="B120" s="62" t="s">
        <v>138</v>
      </c>
      <c r="C120" s="18">
        <v>120</v>
      </c>
      <c r="D120" s="73" t="s">
        <v>90</v>
      </c>
      <c r="E120" s="32">
        <v>0</v>
      </c>
      <c r="F120" s="32">
        <f>PRODUCT(E120,C120)</f>
        <v>0</v>
      </c>
      <c r="G120" s="32">
        <v>18.559999999999999</v>
      </c>
      <c r="H120" s="32">
        <f>C120*G120</f>
        <v>2227.1999999999998</v>
      </c>
      <c r="I120" s="384">
        <f>SUM(F120+H120)</f>
        <v>2227.1999999999998</v>
      </c>
      <c r="J120" s="382">
        <v>4750</v>
      </c>
      <c r="K120" s="385">
        <v>13.04</v>
      </c>
    </row>
    <row r="121" spans="1:11" ht="13.8" x14ac:dyDescent="0.25">
      <c r="A121" s="130" t="s">
        <v>54</v>
      </c>
      <c r="B121" s="62" t="s">
        <v>143</v>
      </c>
      <c r="C121" s="18">
        <v>120</v>
      </c>
      <c r="D121" s="73" t="s">
        <v>90</v>
      </c>
      <c r="E121" s="32">
        <v>0</v>
      </c>
      <c r="F121" s="32">
        <f>PRODUCT(E121,C121)</f>
        <v>0</v>
      </c>
      <c r="G121" s="32">
        <v>18.559999999999999</v>
      </c>
      <c r="H121" s="32">
        <f>C121*G121</f>
        <v>2227.1999999999998</v>
      </c>
      <c r="I121" s="384">
        <f>SUM(F121+H121)</f>
        <v>2227.1999999999998</v>
      </c>
      <c r="J121" s="382">
        <v>378</v>
      </c>
      <c r="K121" s="385">
        <v>13.04</v>
      </c>
    </row>
    <row r="122" spans="1:11" ht="13.8" x14ac:dyDescent="0.25">
      <c r="A122" s="130" t="s">
        <v>55</v>
      </c>
      <c r="B122" s="62" t="s">
        <v>139</v>
      </c>
      <c r="C122" s="18">
        <v>180</v>
      </c>
      <c r="D122" s="73" t="s">
        <v>90</v>
      </c>
      <c r="E122" s="32">
        <v>0</v>
      </c>
      <c r="F122" s="32">
        <f>PRODUCT(E122,C122)</f>
        <v>0</v>
      </c>
      <c r="G122" s="32">
        <v>14.58</v>
      </c>
      <c r="H122" s="32">
        <f>C122*G122</f>
        <v>2624.4</v>
      </c>
      <c r="I122" s="384">
        <f>SUM(F122+H122)</f>
        <v>2624.4</v>
      </c>
      <c r="J122" s="382">
        <v>6111</v>
      </c>
      <c r="K122" s="385">
        <v>9.9600000000000009</v>
      </c>
    </row>
    <row r="123" spans="1:11" ht="13.8" x14ac:dyDescent="0.25">
      <c r="A123" s="254"/>
      <c r="B123" s="59" t="s">
        <v>7</v>
      </c>
      <c r="C123" s="251"/>
      <c r="D123" s="75"/>
      <c r="E123" s="118"/>
      <c r="F123" s="189">
        <f>SUM(F118:F122)</f>
        <v>0</v>
      </c>
      <c r="G123" s="118"/>
      <c r="H123" s="189">
        <f>SUM(H118:H122)</f>
        <v>14959.199999999999</v>
      </c>
      <c r="I123" s="189">
        <f>SUM(I118:I122)</f>
        <v>14959.199999999999</v>
      </c>
      <c r="J123" s="279"/>
      <c r="K123" s="265"/>
    </row>
    <row r="124" spans="1:11" ht="13.8" x14ac:dyDescent="0.25">
      <c r="A124" s="253" t="s">
        <v>35</v>
      </c>
      <c r="B124" s="286" t="s">
        <v>66</v>
      </c>
      <c r="C124" s="251"/>
      <c r="D124" s="75"/>
      <c r="E124" s="89"/>
      <c r="F124" s="74"/>
      <c r="G124" s="89"/>
      <c r="H124" s="74"/>
      <c r="I124" s="295"/>
      <c r="J124" s="281"/>
      <c r="K124" s="262"/>
    </row>
    <row r="125" spans="1:11" ht="13.8" x14ac:dyDescent="0.25">
      <c r="A125" s="130" t="s">
        <v>12</v>
      </c>
      <c r="B125" s="304" t="s">
        <v>131</v>
      </c>
      <c r="C125" s="18">
        <v>60</v>
      </c>
      <c r="D125" s="75" t="s">
        <v>90</v>
      </c>
      <c r="E125" s="152">
        <v>4.2300000000000004</v>
      </c>
      <c r="F125" s="152">
        <f>C125*E125</f>
        <v>253.8</v>
      </c>
      <c r="G125" s="152">
        <v>0</v>
      </c>
      <c r="H125" s="152">
        <f>PRODUCT(G125,C125)</f>
        <v>0</v>
      </c>
      <c r="I125" s="266">
        <f>SUM(F125+H125)</f>
        <v>253.8</v>
      </c>
      <c r="J125" s="382">
        <v>646</v>
      </c>
      <c r="K125" s="386">
        <v>3.82</v>
      </c>
    </row>
    <row r="126" spans="1:11" ht="13.8" x14ac:dyDescent="0.25">
      <c r="A126" s="130" t="s">
        <v>19</v>
      </c>
      <c r="B126" s="304" t="s">
        <v>68</v>
      </c>
      <c r="C126" s="18">
        <v>180</v>
      </c>
      <c r="D126" s="75" t="s">
        <v>90</v>
      </c>
      <c r="E126" s="152">
        <f>K126</f>
        <v>1.69</v>
      </c>
      <c r="F126" s="152">
        <f>C126*E126</f>
        <v>304.2</v>
      </c>
      <c r="G126" s="152">
        <v>0</v>
      </c>
      <c r="H126" s="152">
        <f>PRODUCT(G126,C126)</f>
        <v>0</v>
      </c>
      <c r="I126" s="266">
        <f>SUM(F126+H126)</f>
        <v>304.2</v>
      </c>
      <c r="J126" s="382">
        <v>10790</v>
      </c>
      <c r="K126" s="386">
        <v>1.69</v>
      </c>
    </row>
    <row r="127" spans="1:11" ht="13.8" x14ac:dyDescent="0.25">
      <c r="A127" s="130" t="s">
        <v>119</v>
      </c>
      <c r="B127" s="304" t="s">
        <v>67</v>
      </c>
      <c r="C127" s="394">
        <v>120</v>
      </c>
      <c r="D127" s="75" t="s">
        <v>90</v>
      </c>
      <c r="E127" s="152">
        <f>K127</f>
        <v>2.96</v>
      </c>
      <c r="F127" s="152">
        <f>C127*E127</f>
        <v>355.2</v>
      </c>
      <c r="G127" s="152">
        <v>0</v>
      </c>
      <c r="H127" s="152">
        <f>PRODUCT(G127,C127)</f>
        <v>0</v>
      </c>
      <c r="I127" s="266">
        <f>SUM(F127+H127)</f>
        <v>355.2</v>
      </c>
      <c r="J127" s="382">
        <v>10486</v>
      </c>
      <c r="K127" s="385">
        <v>2.96</v>
      </c>
    </row>
    <row r="128" spans="1:11" ht="15" customHeight="1" x14ac:dyDescent="0.25">
      <c r="A128" s="130" t="s">
        <v>118</v>
      </c>
      <c r="B128" s="378" t="s">
        <v>132</v>
      </c>
      <c r="C128" s="18">
        <v>60</v>
      </c>
      <c r="D128" s="79" t="s">
        <v>90</v>
      </c>
      <c r="E128" s="152">
        <f>K128</f>
        <v>10.26</v>
      </c>
      <c r="F128" s="152">
        <f>C128*E128</f>
        <v>615.6</v>
      </c>
      <c r="G128" s="152">
        <v>0</v>
      </c>
      <c r="H128" s="152">
        <f>PRODUCT(G128,C128)</f>
        <v>0</v>
      </c>
      <c r="I128" s="266">
        <f>SUM(F128+H128)</f>
        <v>615.6</v>
      </c>
      <c r="J128" s="382">
        <v>3345</v>
      </c>
      <c r="K128" s="385">
        <v>10.26</v>
      </c>
    </row>
    <row r="129" spans="1:11" ht="13.8" x14ac:dyDescent="0.25">
      <c r="A129" s="130" t="s">
        <v>134</v>
      </c>
      <c r="B129" s="304" t="s">
        <v>202</v>
      </c>
      <c r="C129" s="18">
        <v>6</v>
      </c>
      <c r="D129" s="79" t="s">
        <v>90</v>
      </c>
      <c r="E129" s="152">
        <v>335.65</v>
      </c>
      <c r="F129" s="152">
        <f>C129*E129</f>
        <v>2013.8999999999999</v>
      </c>
      <c r="G129" s="152">
        <v>0</v>
      </c>
      <c r="H129" s="152">
        <f>PRODUCT(G129,C129)</f>
        <v>0</v>
      </c>
      <c r="I129" s="266">
        <f>SUM(F129+H129)</f>
        <v>2013.8999999999999</v>
      </c>
      <c r="J129" s="382">
        <v>15984</v>
      </c>
      <c r="K129" s="385">
        <v>117</v>
      </c>
    </row>
    <row r="130" spans="1:11" ht="14.4" thickBot="1" x14ac:dyDescent="0.3">
      <c r="A130" s="257"/>
      <c r="B130" s="258" t="s">
        <v>7</v>
      </c>
      <c r="C130" s="269"/>
      <c r="D130" s="269"/>
      <c r="E130" s="270"/>
      <c r="F130" s="259">
        <f>SUM(F125:F129)</f>
        <v>3542.7</v>
      </c>
      <c r="G130" s="269"/>
      <c r="H130" s="271"/>
      <c r="I130" s="272">
        <f>SUM(I125:I129)</f>
        <v>3542.7</v>
      </c>
      <c r="J130" s="282"/>
      <c r="K130" s="265"/>
    </row>
    <row r="131" spans="1:11" ht="14.4" thickBot="1" x14ac:dyDescent="0.3">
      <c r="A131" s="477" t="s">
        <v>99</v>
      </c>
      <c r="B131" s="478"/>
      <c r="C131" s="478"/>
      <c r="D131" s="478"/>
      <c r="E131" s="478"/>
      <c r="F131" s="478"/>
      <c r="G131" s="478"/>
      <c r="H131" s="479"/>
      <c r="I131" s="285">
        <f>I116+I123+I130</f>
        <v>36698.923679999993</v>
      </c>
      <c r="J131" s="273"/>
      <c r="K131" s="265"/>
    </row>
    <row r="132" spans="1:11" ht="14.4" thickBot="1" x14ac:dyDescent="0.3">
      <c r="A132" s="463" t="s">
        <v>100</v>
      </c>
      <c r="B132" s="464"/>
      <c r="C132" s="464"/>
      <c r="D132" s="464"/>
      <c r="E132" s="464"/>
      <c r="F132" s="464"/>
      <c r="G132" s="464"/>
      <c r="H132" s="465"/>
      <c r="I132" s="274">
        <v>0.24229999999999999</v>
      </c>
      <c r="J132" s="273"/>
      <c r="K132" s="265"/>
    </row>
    <row r="133" spans="1:11" ht="14.4" thickBot="1" x14ac:dyDescent="0.3">
      <c r="A133" s="466" t="s">
        <v>101</v>
      </c>
      <c r="B133" s="467"/>
      <c r="C133" s="467"/>
      <c r="D133" s="467"/>
      <c r="E133" s="467"/>
      <c r="F133" s="467"/>
      <c r="G133" s="467"/>
      <c r="H133" s="468"/>
      <c r="I133" s="275">
        <f>I131+(I131*I132)</f>
        <v>45591.072887663991</v>
      </c>
      <c r="J133" s="276"/>
      <c r="K133" s="277"/>
    </row>
    <row r="134" spans="1:11" ht="14.4" thickBot="1" x14ac:dyDescent="0.3">
      <c r="A134" s="466" t="s">
        <v>214</v>
      </c>
      <c r="B134" s="467"/>
      <c r="C134" s="467"/>
      <c r="D134" s="467"/>
      <c r="E134" s="467"/>
      <c r="F134" s="467"/>
      <c r="G134" s="467"/>
      <c r="H134" s="468"/>
      <c r="I134" s="275">
        <f>I131/C112</f>
        <v>3046.0594023904378</v>
      </c>
      <c r="J134" s="276"/>
      <c r="K134" s="277"/>
    </row>
    <row r="137" spans="1:11" ht="13.8" thickBot="1" x14ac:dyDescent="0.3"/>
    <row r="138" spans="1:11" ht="14.4" thickBot="1" x14ac:dyDescent="0.3">
      <c r="A138" s="447" t="s">
        <v>228</v>
      </c>
      <c r="B138" s="448"/>
      <c r="C138" s="448"/>
      <c r="D138" s="448"/>
      <c r="E138" s="448"/>
      <c r="F138" s="449"/>
      <c r="G138" s="448" t="s">
        <v>199</v>
      </c>
      <c r="H138" s="448"/>
      <c r="I138" s="450"/>
      <c r="J138" s="58" t="s">
        <v>25</v>
      </c>
      <c r="K138" s="58" t="s">
        <v>41</v>
      </c>
    </row>
    <row r="139" spans="1:11" ht="13.8" x14ac:dyDescent="0.25">
      <c r="A139" s="451" t="s">
        <v>0</v>
      </c>
      <c r="B139" s="452" t="s">
        <v>98</v>
      </c>
      <c r="C139" s="452" t="s">
        <v>1</v>
      </c>
      <c r="D139" s="454" t="s">
        <v>2</v>
      </c>
      <c r="E139" s="455" t="s">
        <v>38</v>
      </c>
      <c r="F139" s="456"/>
      <c r="G139" s="455" t="s">
        <v>39</v>
      </c>
      <c r="H139" s="456"/>
      <c r="I139" s="457" t="s">
        <v>4</v>
      </c>
      <c r="J139" s="60" t="s">
        <v>26</v>
      </c>
      <c r="K139" s="60" t="s">
        <v>26</v>
      </c>
    </row>
    <row r="140" spans="1:11" ht="14.4" thickBot="1" x14ac:dyDescent="0.3">
      <c r="A140" s="445"/>
      <c r="B140" s="453"/>
      <c r="C140" s="453"/>
      <c r="D140" s="446"/>
      <c r="E140" s="283" t="s">
        <v>3</v>
      </c>
      <c r="F140" s="284" t="s">
        <v>4</v>
      </c>
      <c r="G140" s="283" t="s">
        <v>3</v>
      </c>
      <c r="H140" s="284" t="s">
        <v>4</v>
      </c>
      <c r="I140" s="458"/>
      <c r="J140" s="69" t="s">
        <v>239</v>
      </c>
      <c r="K140" s="63" t="s">
        <v>42</v>
      </c>
    </row>
    <row r="141" spans="1:11" ht="13.8" x14ac:dyDescent="0.25">
      <c r="A141" s="261" t="s">
        <v>33</v>
      </c>
      <c r="B141" s="287" t="s">
        <v>38</v>
      </c>
      <c r="C141" s="288"/>
      <c r="D141" s="289"/>
      <c r="E141" s="290"/>
      <c r="F141" s="291"/>
      <c r="G141" s="290"/>
      <c r="H141" s="292"/>
      <c r="I141" s="293"/>
      <c r="J141" s="161"/>
      <c r="K141" s="296"/>
    </row>
    <row r="142" spans="1:11" ht="13.8" x14ac:dyDescent="0.25">
      <c r="A142" s="130" t="s">
        <v>5</v>
      </c>
      <c r="B142" s="298" t="s">
        <v>225</v>
      </c>
      <c r="C142" s="239">
        <v>68.349999999999994</v>
      </c>
      <c r="D142" s="301" t="s">
        <v>8</v>
      </c>
      <c r="E142" s="118">
        <v>629.36</v>
      </c>
      <c r="F142" s="118">
        <f>PRODUCT(C142:E142)</f>
        <v>43016.755999999994</v>
      </c>
      <c r="G142" s="118">
        <v>0</v>
      </c>
      <c r="H142" s="118">
        <v>0</v>
      </c>
      <c r="I142" s="255">
        <f t="shared" ref="I142:I147" si="5">SUM(F142+H142)</f>
        <v>43016.755999999994</v>
      </c>
      <c r="J142" s="382">
        <v>38408</v>
      </c>
      <c r="K142" s="256">
        <v>372.28</v>
      </c>
    </row>
    <row r="143" spans="1:11" ht="13.8" x14ac:dyDescent="0.25">
      <c r="A143" s="130" t="s">
        <v>20</v>
      </c>
      <c r="B143" s="298" t="s">
        <v>205</v>
      </c>
      <c r="C143" s="239">
        <f>801.57*1.1</f>
        <v>881.72700000000009</v>
      </c>
      <c r="D143" s="303" t="s">
        <v>128</v>
      </c>
      <c r="E143" s="118">
        <v>9.25</v>
      </c>
      <c r="F143" s="118">
        <f>PRODUCT(E143,C143)</f>
        <v>8155.9747500000012</v>
      </c>
      <c r="G143" s="118">
        <v>0</v>
      </c>
      <c r="H143" s="118">
        <f>PRODUCT(G143,C143)</f>
        <v>0</v>
      </c>
      <c r="I143" s="255">
        <f t="shared" si="5"/>
        <v>8155.9747500000012</v>
      </c>
      <c r="J143" s="382">
        <v>43055</v>
      </c>
      <c r="K143" s="383">
        <v>4.3</v>
      </c>
    </row>
    <row r="144" spans="1:11" ht="13.8" x14ac:dyDescent="0.25">
      <c r="A144" s="130" t="s">
        <v>46</v>
      </c>
      <c r="B144" s="298" t="s">
        <v>91</v>
      </c>
      <c r="C144" s="239">
        <f>98.73*1.1</f>
        <v>108.60300000000001</v>
      </c>
      <c r="D144" s="9" t="s">
        <v>16</v>
      </c>
      <c r="E144" s="118">
        <v>105.35</v>
      </c>
      <c r="F144" s="118">
        <f>PRODUCT(E144,C144)</f>
        <v>11441.32605</v>
      </c>
      <c r="G144" s="118">
        <v>0</v>
      </c>
      <c r="H144" s="118">
        <f>PRODUCT(G144,C144)</f>
        <v>0</v>
      </c>
      <c r="I144" s="255">
        <f t="shared" si="5"/>
        <v>11441.32605</v>
      </c>
      <c r="J144" s="382">
        <v>1345</v>
      </c>
      <c r="K144" s="383">
        <v>36.92</v>
      </c>
    </row>
    <row r="145" spans="1:11" ht="13.8" x14ac:dyDescent="0.25">
      <c r="A145" s="130" t="s">
        <v>47</v>
      </c>
      <c r="B145" s="298" t="s">
        <v>206</v>
      </c>
      <c r="C145" s="239">
        <v>160</v>
      </c>
      <c r="D145" s="9" t="s">
        <v>10</v>
      </c>
      <c r="E145" s="118">
        <f>K145</f>
        <v>7.66</v>
      </c>
      <c r="F145" s="118">
        <f>PRODUCT(E145,C145)</f>
        <v>1225.5999999999999</v>
      </c>
      <c r="G145" s="118">
        <v>0</v>
      </c>
      <c r="H145" s="118">
        <f>PRODUCT(G145,C145)</f>
        <v>0</v>
      </c>
      <c r="I145" s="255">
        <f t="shared" si="5"/>
        <v>1225.5999999999999</v>
      </c>
      <c r="J145" s="382">
        <v>6193</v>
      </c>
      <c r="K145" s="383">
        <v>7.66</v>
      </c>
    </row>
    <row r="146" spans="1:11" ht="13.8" x14ac:dyDescent="0.25">
      <c r="A146" s="130" t="s">
        <v>48</v>
      </c>
      <c r="B146" s="298" t="s">
        <v>51</v>
      </c>
      <c r="C146" s="239">
        <v>10.62</v>
      </c>
      <c r="D146" s="9" t="s">
        <v>52</v>
      </c>
      <c r="E146" s="118">
        <v>7.1</v>
      </c>
      <c r="F146" s="118">
        <f>PRODUCT(E146,C146)</f>
        <v>75.401999999999987</v>
      </c>
      <c r="G146" s="118">
        <v>0</v>
      </c>
      <c r="H146" s="118">
        <f>PRODUCT(G146,C146)</f>
        <v>0</v>
      </c>
      <c r="I146" s="255">
        <f t="shared" si="5"/>
        <v>75.401999999999987</v>
      </c>
      <c r="J146" s="382">
        <v>2692</v>
      </c>
      <c r="K146" s="383" t="s">
        <v>219</v>
      </c>
    </row>
    <row r="147" spans="1:11" ht="13.8" x14ac:dyDescent="0.25">
      <c r="A147" s="130" t="s">
        <v>49</v>
      </c>
      <c r="B147" s="298" t="s">
        <v>149</v>
      </c>
      <c r="C147" s="239">
        <v>35</v>
      </c>
      <c r="D147" s="9" t="s">
        <v>128</v>
      </c>
      <c r="E147" s="118">
        <v>21.02</v>
      </c>
      <c r="F147" s="118">
        <f>PRODUCT(E147,C147)</f>
        <v>735.69999999999993</v>
      </c>
      <c r="G147" s="118">
        <v>0</v>
      </c>
      <c r="H147" s="118">
        <f>PRODUCT(G147,C147)</f>
        <v>0</v>
      </c>
      <c r="I147" s="255">
        <f t="shared" si="5"/>
        <v>735.69999999999993</v>
      </c>
      <c r="J147" s="382">
        <v>43132</v>
      </c>
      <c r="K147" s="383">
        <v>7.99</v>
      </c>
    </row>
    <row r="148" spans="1:11" ht="13.8" x14ac:dyDescent="0.25">
      <c r="A148" s="254"/>
      <c r="B148" s="59" t="s">
        <v>7</v>
      </c>
      <c r="C148" s="75"/>
      <c r="D148" s="75"/>
      <c r="E148" s="118"/>
      <c r="F148" s="189">
        <f>SUM(F142:F147)</f>
        <v>64650.758799999989</v>
      </c>
      <c r="G148" s="118"/>
      <c r="H148" s="189"/>
      <c r="I148" s="294">
        <f>SUM(I142:I147)</f>
        <v>64650.758799999989</v>
      </c>
      <c r="J148" s="280"/>
      <c r="K148" s="260"/>
    </row>
    <row r="149" spans="1:11" ht="13.8" x14ac:dyDescent="0.25">
      <c r="A149" s="253" t="s">
        <v>34</v>
      </c>
      <c r="B149" s="286" t="s">
        <v>39</v>
      </c>
      <c r="C149" s="75"/>
      <c r="D149" s="75"/>
      <c r="E149" s="89"/>
      <c r="F149" s="74"/>
      <c r="G149" s="89"/>
      <c r="H149" s="74"/>
      <c r="I149" s="295"/>
      <c r="J149" s="281"/>
      <c r="K149" s="262"/>
    </row>
    <row r="150" spans="1:11" ht="13.8" x14ac:dyDescent="0.25">
      <c r="A150" s="130" t="s">
        <v>6</v>
      </c>
      <c r="B150" s="62" t="s">
        <v>136</v>
      </c>
      <c r="C150" s="302">
        <v>30</v>
      </c>
      <c r="D150" s="73" t="s">
        <v>90</v>
      </c>
      <c r="E150" s="32">
        <v>0</v>
      </c>
      <c r="F150" s="32">
        <f>PRODUCT(E150,C150)</f>
        <v>0</v>
      </c>
      <c r="G150" s="32">
        <v>99.98</v>
      </c>
      <c r="H150" s="32">
        <f>C150*G150</f>
        <v>2999.4</v>
      </c>
      <c r="I150" s="384">
        <f>SUM(F150+H150)</f>
        <v>2999.4</v>
      </c>
      <c r="J150" s="382">
        <v>4069</v>
      </c>
      <c r="K150" s="385">
        <v>44.57</v>
      </c>
    </row>
    <row r="151" spans="1:11" ht="13.8" x14ac:dyDescent="0.25">
      <c r="A151" s="130" t="s">
        <v>11</v>
      </c>
      <c r="B151" s="62" t="s">
        <v>137</v>
      </c>
      <c r="C151" s="300">
        <v>40</v>
      </c>
      <c r="D151" s="73" t="s">
        <v>90</v>
      </c>
      <c r="E151" s="32">
        <v>0</v>
      </c>
      <c r="F151" s="32">
        <f>PRODUCT(E151,C151)</f>
        <v>0</v>
      </c>
      <c r="G151" s="32">
        <v>15.68</v>
      </c>
      <c r="H151" s="32">
        <f>C151*G151</f>
        <v>627.20000000000005</v>
      </c>
      <c r="I151" s="384">
        <f>SUM(F151+H151)</f>
        <v>627.20000000000005</v>
      </c>
      <c r="J151" s="382">
        <v>1213</v>
      </c>
      <c r="K151" s="385">
        <v>13.04</v>
      </c>
    </row>
    <row r="152" spans="1:11" ht="13.8" x14ac:dyDescent="0.25">
      <c r="A152" s="130" t="s">
        <v>53</v>
      </c>
      <c r="B152" s="62" t="s">
        <v>138</v>
      </c>
      <c r="C152" s="300">
        <v>40</v>
      </c>
      <c r="D152" s="73" t="s">
        <v>90</v>
      </c>
      <c r="E152" s="32">
        <v>0</v>
      </c>
      <c r="F152" s="32">
        <f>PRODUCT(E152,C152)</f>
        <v>0</v>
      </c>
      <c r="G152" s="32">
        <v>18.559999999999999</v>
      </c>
      <c r="H152" s="32">
        <f>C152*G152</f>
        <v>742.4</v>
      </c>
      <c r="I152" s="384">
        <f>SUM(F152+H152)</f>
        <v>742.4</v>
      </c>
      <c r="J152" s="382">
        <v>4750</v>
      </c>
      <c r="K152" s="385">
        <v>13.04</v>
      </c>
    </row>
    <row r="153" spans="1:11" ht="13.8" x14ac:dyDescent="0.25">
      <c r="A153" s="130" t="s">
        <v>54</v>
      </c>
      <c r="B153" s="62" t="s">
        <v>143</v>
      </c>
      <c r="C153" s="300">
        <v>40</v>
      </c>
      <c r="D153" s="73" t="s">
        <v>90</v>
      </c>
      <c r="E153" s="32">
        <v>0</v>
      </c>
      <c r="F153" s="32">
        <f>PRODUCT(E153,C153)</f>
        <v>0</v>
      </c>
      <c r="G153" s="32">
        <v>18.559999999999999</v>
      </c>
      <c r="H153" s="32">
        <f>C153*G153</f>
        <v>742.4</v>
      </c>
      <c r="I153" s="384">
        <f>SUM(F153+H153)</f>
        <v>742.4</v>
      </c>
      <c r="J153" s="382">
        <v>378</v>
      </c>
      <c r="K153" s="385">
        <v>13.04</v>
      </c>
    </row>
    <row r="154" spans="1:11" ht="13.8" x14ac:dyDescent="0.25">
      <c r="A154" s="130" t="s">
        <v>55</v>
      </c>
      <c r="B154" s="62" t="s">
        <v>139</v>
      </c>
      <c r="C154" s="300">
        <v>65</v>
      </c>
      <c r="D154" s="73" t="s">
        <v>90</v>
      </c>
      <c r="E154" s="32">
        <v>0</v>
      </c>
      <c r="F154" s="32">
        <f>PRODUCT(E154,C154)</f>
        <v>0</v>
      </c>
      <c r="G154" s="32">
        <v>14.58</v>
      </c>
      <c r="H154" s="32">
        <f>C154*G154</f>
        <v>947.7</v>
      </c>
      <c r="I154" s="384">
        <f>SUM(F154+H154)</f>
        <v>947.7</v>
      </c>
      <c r="J154" s="382">
        <v>6111</v>
      </c>
      <c r="K154" s="385">
        <v>9.9600000000000009</v>
      </c>
    </row>
    <row r="155" spans="1:11" ht="13.8" x14ac:dyDescent="0.25">
      <c r="A155" s="254"/>
      <c r="B155" s="59" t="s">
        <v>7</v>
      </c>
      <c r="C155" s="239"/>
      <c r="D155" s="75"/>
      <c r="E155" s="118"/>
      <c r="F155" s="189">
        <f>SUM(F150:F154)</f>
        <v>0</v>
      </c>
      <c r="G155" s="118"/>
      <c r="H155" s="189">
        <f>SUM(H150:H154)</f>
        <v>6059.0999999999995</v>
      </c>
      <c r="I155" s="189">
        <f>SUM(I150:I154)</f>
        <v>6059.0999999999995</v>
      </c>
      <c r="J155" s="279"/>
      <c r="K155" s="265"/>
    </row>
    <row r="156" spans="1:11" ht="13.8" x14ac:dyDescent="0.25">
      <c r="A156" s="253" t="s">
        <v>35</v>
      </c>
      <c r="B156" s="286" t="s">
        <v>66</v>
      </c>
      <c r="C156" s="75"/>
      <c r="D156" s="75"/>
      <c r="E156" s="89"/>
      <c r="F156" s="74"/>
      <c r="G156" s="89"/>
      <c r="H156" s="74"/>
      <c r="I156" s="295"/>
      <c r="J156" s="281"/>
      <c r="K156" s="262"/>
    </row>
    <row r="157" spans="1:11" ht="13.8" x14ac:dyDescent="0.25">
      <c r="A157" s="130" t="s">
        <v>12</v>
      </c>
      <c r="B157" s="304" t="s">
        <v>131</v>
      </c>
      <c r="C157" s="300">
        <v>20</v>
      </c>
      <c r="D157" s="75" t="s">
        <v>90</v>
      </c>
      <c r="E157" s="152">
        <v>4.2300000000000004</v>
      </c>
      <c r="F157" s="152">
        <f>C157*E157</f>
        <v>84.600000000000009</v>
      </c>
      <c r="G157" s="152">
        <v>0</v>
      </c>
      <c r="H157" s="152">
        <f>PRODUCT(G157,C157)</f>
        <v>0</v>
      </c>
      <c r="I157" s="266">
        <f>SUM(F157+H157)</f>
        <v>84.600000000000009</v>
      </c>
      <c r="J157" s="382">
        <v>646</v>
      </c>
      <c r="K157" s="386">
        <v>3.82</v>
      </c>
    </row>
    <row r="158" spans="1:11" ht="13.8" x14ac:dyDescent="0.25">
      <c r="A158" s="130" t="s">
        <v>19</v>
      </c>
      <c r="B158" s="304" t="s">
        <v>68</v>
      </c>
      <c r="C158" s="300">
        <v>35</v>
      </c>
      <c r="D158" s="75" t="s">
        <v>90</v>
      </c>
      <c r="E158" s="152">
        <f>K158</f>
        <v>1.69</v>
      </c>
      <c r="F158" s="152">
        <f>C158*E158</f>
        <v>59.15</v>
      </c>
      <c r="G158" s="152">
        <v>0</v>
      </c>
      <c r="H158" s="152">
        <f>PRODUCT(G158,C158)</f>
        <v>0</v>
      </c>
      <c r="I158" s="266">
        <f>SUM(F158+H158)</f>
        <v>59.15</v>
      </c>
      <c r="J158" s="382">
        <v>10790</v>
      </c>
      <c r="K158" s="386">
        <v>1.69</v>
      </c>
    </row>
    <row r="159" spans="1:11" ht="13.8" x14ac:dyDescent="0.25">
      <c r="A159" s="130" t="s">
        <v>119</v>
      </c>
      <c r="B159" s="304" t="s">
        <v>67</v>
      </c>
      <c r="C159" s="305">
        <v>15</v>
      </c>
      <c r="D159" s="75" t="s">
        <v>90</v>
      </c>
      <c r="E159" s="152">
        <f>K159</f>
        <v>2.96</v>
      </c>
      <c r="F159" s="152">
        <f>C159*E159</f>
        <v>44.4</v>
      </c>
      <c r="G159" s="152">
        <v>0</v>
      </c>
      <c r="H159" s="152">
        <f>PRODUCT(G159,C159)</f>
        <v>0</v>
      </c>
      <c r="I159" s="266">
        <f>SUM(F159+H159)</f>
        <v>44.4</v>
      </c>
      <c r="J159" s="382">
        <v>10486</v>
      </c>
      <c r="K159" s="385">
        <v>2.96</v>
      </c>
    </row>
    <row r="160" spans="1:11" ht="15" customHeight="1" x14ac:dyDescent="0.25">
      <c r="A160" s="130" t="s">
        <v>118</v>
      </c>
      <c r="B160" s="378" t="s">
        <v>132</v>
      </c>
      <c r="C160" s="300">
        <v>60</v>
      </c>
      <c r="D160" s="79" t="s">
        <v>90</v>
      </c>
      <c r="E160" s="152">
        <f>K160</f>
        <v>10.26</v>
      </c>
      <c r="F160" s="152">
        <f>C160*E160</f>
        <v>615.6</v>
      </c>
      <c r="G160" s="152">
        <v>0</v>
      </c>
      <c r="H160" s="152">
        <f>PRODUCT(G160,C160)</f>
        <v>0</v>
      </c>
      <c r="I160" s="266">
        <f>SUM(F160+H160)</f>
        <v>615.6</v>
      </c>
      <c r="J160" s="382">
        <v>3345</v>
      </c>
      <c r="K160" s="385">
        <v>10.26</v>
      </c>
    </row>
    <row r="161" spans="1:12" ht="13.8" x14ac:dyDescent="0.25">
      <c r="A161" s="130" t="s">
        <v>134</v>
      </c>
      <c r="B161" s="304" t="s">
        <v>202</v>
      </c>
      <c r="C161" s="300">
        <v>10</v>
      </c>
      <c r="D161" s="79" t="s">
        <v>90</v>
      </c>
      <c r="E161" s="152">
        <v>335.65</v>
      </c>
      <c r="F161" s="152">
        <f>C161*E161</f>
        <v>3356.5</v>
      </c>
      <c r="G161" s="152">
        <v>0</v>
      </c>
      <c r="H161" s="152">
        <f>PRODUCT(G161,C161)</f>
        <v>0</v>
      </c>
      <c r="I161" s="266">
        <f>SUM(F161+H161)</f>
        <v>3356.5</v>
      </c>
      <c r="J161" s="382">
        <v>15984</v>
      </c>
      <c r="K161" s="385">
        <v>117</v>
      </c>
    </row>
    <row r="162" spans="1:12" ht="14.4" thickBot="1" x14ac:dyDescent="0.3">
      <c r="A162" s="257"/>
      <c r="B162" s="258" t="s">
        <v>7</v>
      </c>
      <c r="C162" s="269"/>
      <c r="D162" s="269"/>
      <c r="E162" s="270"/>
      <c r="F162" s="259">
        <f>SUM(F157:F161)</f>
        <v>4160.25</v>
      </c>
      <c r="G162" s="269"/>
      <c r="H162" s="271"/>
      <c r="I162" s="272">
        <f>SUM(I157:I161)</f>
        <v>4160.25</v>
      </c>
      <c r="J162" s="282"/>
      <c r="K162" s="265"/>
    </row>
    <row r="163" spans="1:12" ht="14.4" thickBot="1" x14ac:dyDescent="0.3">
      <c r="A163" s="477" t="s">
        <v>99</v>
      </c>
      <c r="B163" s="478"/>
      <c r="C163" s="478"/>
      <c r="D163" s="478"/>
      <c r="E163" s="478"/>
      <c r="F163" s="478"/>
      <c r="G163" s="478"/>
      <c r="H163" s="479"/>
      <c r="I163" s="285">
        <f>I148+I155+I162</f>
        <v>74870.108799999987</v>
      </c>
      <c r="J163" s="273"/>
      <c r="K163" s="265"/>
    </row>
    <row r="164" spans="1:12" ht="14.4" thickBot="1" x14ac:dyDescent="0.3">
      <c r="A164" s="463" t="s">
        <v>100</v>
      </c>
      <c r="B164" s="464"/>
      <c r="C164" s="464"/>
      <c r="D164" s="464"/>
      <c r="E164" s="464"/>
      <c r="F164" s="464"/>
      <c r="G164" s="464"/>
      <c r="H164" s="465"/>
      <c r="I164" s="274">
        <v>0.24229999999999999</v>
      </c>
      <c r="J164" s="273"/>
      <c r="K164" s="265"/>
    </row>
    <row r="165" spans="1:12" ht="14.4" thickBot="1" x14ac:dyDescent="0.3">
      <c r="A165" s="466" t="s">
        <v>101</v>
      </c>
      <c r="B165" s="467"/>
      <c r="C165" s="467"/>
      <c r="D165" s="467"/>
      <c r="E165" s="467"/>
      <c r="F165" s="467"/>
      <c r="G165" s="467"/>
      <c r="H165" s="468"/>
      <c r="I165" s="275">
        <f>I163+(I163*I164)</f>
        <v>93011.136162239985</v>
      </c>
      <c r="J165" s="276"/>
      <c r="K165" s="277"/>
    </row>
    <row r="166" spans="1:12" ht="14.4" thickBot="1" x14ac:dyDescent="0.3">
      <c r="A166" s="466" t="s">
        <v>214</v>
      </c>
      <c r="B166" s="467"/>
      <c r="C166" s="467"/>
      <c r="D166" s="467"/>
      <c r="E166" s="467"/>
      <c r="F166" s="467"/>
      <c r="G166" s="467"/>
      <c r="H166" s="468"/>
      <c r="I166" s="275">
        <f>I163/C142</f>
        <v>1095.3929597659107</v>
      </c>
      <c r="J166" s="276"/>
      <c r="K166" s="277"/>
    </row>
    <row r="168" spans="1:12" ht="13.8" thickBot="1" x14ac:dyDescent="0.3"/>
    <row r="169" spans="1:12" ht="14.4" thickBot="1" x14ac:dyDescent="0.3">
      <c r="A169" s="447" t="s">
        <v>231</v>
      </c>
      <c r="B169" s="448"/>
      <c r="C169" s="448"/>
      <c r="D169" s="448"/>
      <c r="E169" s="448"/>
      <c r="F169" s="449"/>
      <c r="G169" s="448" t="s">
        <v>211</v>
      </c>
      <c r="H169" s="448"/>
      <c r="I169" s="450"/>
      <c r="J169" s="58" t="s">
        <v>25</v>
      </c>
      <c r="K169" s="58" t="s">
        <v>41</v>
      </c>
    </row>
    <row r="170" spans="1:12" ht="13.8" x14ac:dyDescent="0.25">
      <c r="A170" s="451" t="s">
        <v>0</v>
      </c>
      <c r="B170" s="452" t="s">
        <v>98</v>
      </c>
      <c r="C170" s="452" t="s">
        <v>1</v>
      </c>
      <c r="D170" s="454" t="s">
        <v>2</v>
      </c>
      <c r="E170" s="455" t="s">
        <v>38</v>
      </c>
      <c r="F170" s="456"/>
      <c r="G170" s="455" t="s">
        <v>39</v>
      </c>
      <c r="H170" s="456"/>
      <c r="I170" s="457" t="s">
        <v>4</v>
      </c>
      <c r="J170" s="60" t="s">
        <v>26</v>
      </c>
      <c r="K170" s="60" t="s">
        <v>26</v>
      </c>
    </row>
    <row r="171" spans="1:12" ht="14.4" thickBot="1" x14ac:dyDescent="0.3">
      <c r="A171" s="424"/>
      <c r="B171" s="472"/>
      <c r="C171" s="472"/>
      <c r="D171" s="425"/>
      <c r="E171" s="380" t="s">
        <v>3</v>
      </c>
      <c r="F171" s="381" t="s">
        <v>4</v>
      </c>
      <c r="G171" s="380" t="s">
        <v>3</v>
      </c>
      <c r="H171" s="381" t="s">
        <v>4</v>
      </c>
      <c r="I171" s="426"/>
      <c r="J171" s="69">
        <v>45931</v>
      </c>
      <c r="K171" s="63" t="s">
        <v>42</v>
      </c>
    </row>
    <row r="172" spans="1:12" ht="13.8" x14ac:dyDescent="0.25">
      <c r="A172" s="59" t="s">
        <v>33</v>
      </c>
      <c r="B172" s="57" t="s">
        <v>38</v>
      </c>
      <c r="C172" s="64"/>
      <c r="D172" s="65"/>
      <c r="E172" s="66"/>
      <c r="F172" s="67"/>
      <c r="G172" s="66"/>
      <c r="H172" s="68"/>
      <c r="I172" s="68"/>
      <c r="J172" s="160"/>
      <c r="K172" s="161"/>
    </row>
    <row r="173" spans="1:12" ht="13.8" x14ac:dyDescent="0.25">
      <c r="A173" s="61" t="s">
        <v>5</v>
      </c>
      <c r="B173" s="71" t="s">
        <v>115</v>
      </c>
      <c r="C173" s="239">
        <v>3.96</v>
      </c>
      <c r="D173" s="75" t="s">
        <v>8</v>
      </c>
      <c r="E173" s="118">
        <v>629.36</v>
      </c>
      <c r="F173" s="182">
        <f t="shared" ref="F173:F179" si="6">C173*E173</f>
        <v>2492.2656000000002</v>
      </c>
      <c r="G173" s="182">
        <v>0</v>
      </c>
      <c r="H173" s="182">
        <v>0</v>
      </c>
      <c r="I173" s="190">
        <f t="shared" ref="I173:I179" si="7">F173+H173</f>
        <v>2492.2656000000002</v>
      </c>
      <c r="J173" s="243">
        <v>38408</v>
      </c>
      <c r="K173" s="76">
        <v>403.04</v>
      </c>
    </row>
    <row r="174" spans="1:12" ht="13.8" x14ac:dyDescent="0.25">
      <c r="A174" s="61" t="s">
        <v>13</v>
      </c>
      <c r="B174" s="298" t="s">
        <v>163</v>
      </c>
      <c r="C174" s="299">
        <v>443.1</v>
      </c>
      <c r="D174" s="301" t="s">
        <v>128</v>
      </c>
      <c r="E174" s="118">
        <v>9.25</v>
      </c>
      <c r="F174" s="182">
        <f t="shared" si="6"/>
        <v>4098.6750000000002</v>
      </c>
      <c r="G174" s="118">
        <v>0</v>
      </c>
      <c r="H174" s="118">
        <f t="shared" ref="H174:H180" si="8">PRODUCT(G174,C174)</f>
        <v>0</v>
      </c>
      <c r="I174" s="190">
        <f t="shared" si="7"/>
        <v>4098.6750000000002</v>
      </c>
      <c r="J174" s="244">
        <v>43055</v>
      </c>
      <c r="K174" s="76">
        <v>3.25</v>
      </c>
    </row>
    <row r="175" spans="1:12" ht="13.8" x14ac:dyDescent="0.25">
      <c r="A175" s="61" t="s">
        <v>20</v>
      </c>
      <c r="B175" s="298" t="s">
        <v>147</v>
      </c>
      <c r="C175" s="299">
        <v>581</v>
      </c>
      <c r="D175" s="301" t="s">
        <v>128</v>
      </c>
      <c r="E175" s="118">
        <v>9.25</v>
      </c>
      <c r="F175" s="182">
        <f t="shared" si="6"/>
        <v>5374.25</v>
      </c>
      <c r="G175" s="118">
        <v>0</v>
      </c>
      <c r="H175" s="118">
        <f t="shared" si="8"/>
        <v>0</v>
      </c>
      <c r="I175" s="190">
        <f t="shared" si="7"/>
        <v>5374.25</v>
      </c>
      <c r="J175" s="244">
        <v>43055</v>
      </c>
      <c r="K175" s="76">
        <v>3.48</v>
      </c>
    </row>
    <row r="176" spans="1:12" ht="13.8" x14ac:dyDescent="0.25">
      <c r="A176" s="61" t="s">
        <v>46</v>
      </c>
      <c r="B176" s="298"/>
      <c r="C176" s="300"/>
      <c r="D176" s="9"/>
      <c r="E176" s="118"/>
      <c r="F176" s="182">
        <f t="shared" si="6"/>
        <v>0</v>
      </c>
      <c r="G176" s="118">
        <v>0</v>
      </c>
      <c r="H176" s="118">
        <f t="shared" si="8"/>
        <v>0</v>
      </c>
      <c r="I176" s="190">
        <f t="shared" si="7"/>
        <v>0</v>
      </c>
      <c r="J176" s="244">
        <v>31</v>
      </c>
      <c r="K176" s="76">
        <v>3.48</v>
      </c>
      <c r="L176" s="205"/>
    </row>
    <row r="177" spans="1:12" ht="13.8" x14ac:dyDescent="0.25">
      <c r="A177" s="61" t="s">
        <v>47</v>
      </c>
      <c r="B177" s="298" t="s">
        <v>164</v>
      </c>
      <c r="C177" s="302">
        <v>472</v>
      </c>
      <c r="D177" s="303" t="s">
        <v>128</v>
      </c>
      <c r="E177" s="118">
        <f>K177</f>
        <v>3.62</v>
      </c>
      <c r="F177" s="182">
        <f t="shared" si="6"/>
        <v>1708.64</v>
      </c>
      <c r="G177" s="118">
        <v>0</v>
      </c>
      <c r="H177" s="118">
        <f t="shared" si="8"/>
        <v>0</v>
      </c>
      <c r="I177" s="190">
        <f t="shared" si="7"/>
        <v>1708.64</v>
      </c>
      <c r="J177" s="244">
        <v>39</v>
      </c>
      <c r="K177" s="76">
        <v>3.62</v>
      </c>
    </row>
    <row r="178" spans="1:12" ht="13.8" x14ac:dyDescent="0.25">
      <c r="A178" s="61" t="s">
        <v>48</v>
      </c>
      <c r="B178" s="298" t="s">
        <v>91</v>
      </c>
      <c r="C178" s="300">
        <v>26</v>
      </c>
      <c r="D178" s="9" t="s">
        <v>16</v>
      </c>
      <c r="E178" s="118">
        <v>105.55</v>
      </c>
      <c r="F178" s="182">
        <f t="shared" si="6"/>
        <v>2744.2999999999997</v>
      </c>
      <c r="G178" s="118">
        <v>0</v>
      </c>
      <c r="H178" s="118">
        <f t="shared" si="8"/>
        <v>0</v>
      </c>
      <c r="I178" s="190">
        <f t="shared" si="7"/>
        <v>2744.2999999999997</v>
      </c>
      <c r="J178" s="244">
        <v>1345</v>
      </c>
      <c r="K178" s="76">
        <v>57.12</v>
      </c>
    </row>
    <row r="179" spans="1:12" ht="13.8" x14ac:dyDescent="0.25">
      <c r="A179" s="61" t="s">
        <v>49</v>
      </c>
      <c r="B179" s="298" t="s">
        <v>51</v>
      </c>
      <c r="C179" s="300">
        <v>9</v>
      </c>
      <c r="D179" s="9" t="s">
        <v>52</v>
      </c>
      <c r="E179" s="118">
        <v>7.1</v>
      </c>
      <c r="F179" s="182">
        <f t="shared" si="6"/>
        <v>63.9</v>
      </c>
      <c r="G179" s="118">
        <v>0</v>
      </c>
      <c r="H179" s="118">
        <f t="shared" si="8"/>
        <v>0</v>
      </c>
      <c r="I179" s="190">
        <f t="shared" si="7"/>
        <v>63.9</v>
      </c>
      <c r="J179" s="244">
        <v>2692</v>
      </c>
      <c r="K179" s="76">
        <v>4.8600000000000003</v>
      </c>
      <c r="L179" s="205"/>
    </row>
    <row r="180" spans="1:12" ht="13.8" x14ac:dyDescent="0.25">
      <c r="A180" s="61" t="s">
        <v>50</v>
      </c>
      <c r="B180" s="298" t="s">
        <v>149</v>
      </c>
      <c r="C180" s="300">
        <v>24.1</v>
      </c>
      <c r="D180" s="9" t="s">
        <v>128</v>
      </c>
      <c r="E180" s="118">
        <v>21.02</v>
      </c>
      <c r="F180" s="118">
        <f>PRODUCT(E180,C180)</f>
        <v>506.58199999999999</v>
      </c>
      <c r="G180" s="118">
        <v>0</v>
      </c>
      <c r="H180" s="118">
        <f t="shared" si="8"/>
        <v>0</v>
      </c>
      <c r="I180" s="118">
        <f>SUM(F180+H180)</f>
        <v>506.58199999999999</v>
      </c>
      <c r="J180" s="244">
        <v>43132</v>
      </c>
      <c r="K180" s="76">
        <v>7.99</v>
      </c>
    </row>
    <row r="181" spans="1:12" ht="13.8" x14ac:dyDescent="0.25">
      <c r="A181" s="61"/>
      <c r="B181" s="59" t="s">
        <v>7</v>
      </c>
      <c r="C181" s="79"/>
      <c r="D181" s="79"/>
      <c r="E181" s="191"/>
      <c r="F181" s="192">
        <f>SUM(F173:F180)</f>
        <v>16988.6126</v>
      </c>
      <c r="G181" s="191"/>
      <c r="H181" s="192">
        <f>SUM(H173:H180)</f>
        <v>0</v>
      </c>
      <c r="I181" s="192">
        <f>SUM(I173:I180)</f>
        <v>16988.6126</v>
      </c>
      <c r="J181" s="157"/>
      <c r="K181" s="76"/>
    </row>
    <row r="182" spans="1:12" ht="13.8" x14ac:dyDescent="0.25">
      <c r="A182" s="59" t="s">
        <v>34</v>
      </c>
      <c r="B182" s="82" t="s">
        <v>39</v>
      </c>
      <c r="C182" s="233"/>
      <c r="D182" s="84"/>
      <c r="E182" s="85"/>
      <c r="F182" s="86"/>
      <c r="G182" s="85"/>
      <c r="H182" s="86"/>
      <c r="I182" s="86"/>
      <c r="J182" s="162"/>
      <c r="K182" s="163"/>
    </row>
    <row r="183" spans="1:12" ht="13.8" x14ac:dyDescent="0.25">
      <c r="A183" s="61" t="s">
        <v>6</v>
      </c>
      <c r="B183" s="62" t="s">
        <v>136</v>
      </c>
      <c r="C183" s="302">
        <v>25</v>
      </c>
      <c r="D183" s="73" t="s">
        <v>90</v>
      </c>
      <c r="E183" s="182">
        <v>0</v>
      </c>
      <c r="F183" s="182">
        <f>PRODUCT(E183,C183)</f>
        <v>0</v>
      </c>
      <c r="G183" s="118">
        <v>99.98</v>
      </c>
      <c r="H183" s="182">
        <f>PRODUCT(G183,C183)</f>
        <v>2499.5</v>
      </c>
      <c r="I183" s="182">
        <f>SUM(F183+H183)</f>
        <v>2499.5</v>
      </c>
      <c r="J183" s="382">
        <v>4069</v>
      </c>
      <c r="K183" s="385">
        <v>44.57</v>
      </c>
    </row>
    <row r="184" spans="1:12" ht="13.8" x14ac:dyDescent="0.25">
      <c r="A184" s="61" t="s">
        <v>11</v>
      </c>
      <c r="B184" s="62" t="s">
        <v>137</v>
      </c>
      <c r="C184" s="300">
        <v>28</v>
      </c>
      <c r="D184" s="73" t="s">
        <v>90</v>
      </c>
      <c r="E184" s="182">
        <v>0</v>
      </c>
      <c r="F184" s="182">
        <f>PRODUCT(E184,C184)</f>
        <v>0</v>
      </c>
      <c r="G184" s="118">
        <v>15.68</v>
      </c>
      <c r="H184" s="182">
        <f>PRODUCT(G184,C184)</f>
        <v>439.03999999999996</v>
      </c>
      <c r="I184" s="182">
        <f>SUM(F184+H184)</f>
        <v>439.03999999999996</v>
      </c>
      <c r="J184" s="382">
        <v>1213</v>
      </c>
      <c r="K184" s="385">
        <v>13.04</v>
      </c>
    </row>
    <row r="185" spans="1:12" ht="13.8" x14ac:dyDescent="0.25">
      <c r="A185" s="61" t="s">
        <v>53</v>
      </c>
      <c r="B185" s="62" t="s">
        <v>138</v>
      </c>
      <c r="C185" s="300">
        <v>28</v>
      </c>
      <c r="D185" s="73" t="s">
        <v>90</v>
      </c>
      <c r="E185" s="182">
        <v>0</v>
      </c>
      <c r="F185" s="182">
        <f>PRODUCT(E185,C185)</f>
        <v>0</v>
      </c>
      <c r="G185" s="118">
        <v>18.559999999999999</v>
      </c>
      <c r="H185" s="182">
        <f>PRODUCT(G185,C185)</f>
        <v>519.67999999999995</v>
      </c>
      <c r="I185" s="182">
        <f>SUM(F185+H185)</f>
        <v>519.67999999999995</v>
      </c>
      <c r="J185" s="382">
        <v>4750</v>
      </c>
      <c r="K185" s="385">
        <v>13.04</v>
      </c>
    </row>
    <row r="186" spans="1:12" ht="13.8" x14ac:dyDescent="0.25">
      <c r="A186" s="61" t="s">
        <v>54</v>
      </c>
      <c r="B186" s="62" t="s">
        <v>143</v>
      </c>
      <c r="C186" s="300">
        <v>28</v>
      </c>
      <c r="D186" s="73" t="s">
        <v>90</v>
      </c>
      <c r="E186" s="118">
        <v>0</v>
      </c>
      <c r="F186" s="118">
        <f>PRODUCT(E186,C186)</f>
        <v>0</v>
      </c>
      <c r="G186" s="118">
        <v>18.559999999999999</v>
      </c>
      <c r="H186" s="118">
        <f>PRODUCT(G186,C186)</f>
        <v>519.67999999999995</v>
      </c>
      <c r="I186" s="118">
        <f>SUM(F186+H186)</f>
        <v>519.67999999999995</v>
      </c>
      <c r="J186" s="382">
        <v>378</v>
      </c>
      <c r="K186" s="385">
        <v>13.04</v>
      </c>
    </row>
    <row r="187" spans="1:12" ht="13.8" x14ac:dyDescent="0.25">
      <c r="A187" s="61" t="s">
        <v>55</v>
      </c>
      <c r="B187" s="62" t="s">
        <v>139</v>
      </c>
      <c r="C187" s="300">
        <v>60</v>
      </c>
      <c r="D187" s="73" t="s">
        <v>90</v>
      </c>
      <c r="E187" s="118">
        <v>0</v>
      </c>
      <c r="F187" s="118">
        <f>PRODUCT(E187,C187)</f>
        <v>0</v>
      </c>
      <c r="G187" s="118">
        <v>14.58</v>
      </c>
      <c r="H187" s="118">
        <f>PRODUCT(G187,C187)</f>
        <v>874.8</v>
      </c>
      <c r="I187" s="118">
        <f>SUM(F187+H187)</f>
        <v>874.8</v>
      </c>
      <c r="J187" s="382">
        <v>6111</v>
      </c>
      <c r="K187" s="385">
        <v>9.9600000000000009</v>
      </c>
    </row>
    <row r="188" spans="1:12" ht="13.8" x14ac:dyDescent="0.25">
      <c r="A188" s="61"/>
      <c r="B188" s="59" t="s">
        <v>7</v>
      </c>
      <c r="C188" s="239"/>
      <c r="D188" s="89"/>
      <c r="E188" s="118"/>
      <c r="F188" s="189">
        <f>SUM(F183:F187)</f>
        <v>0</v>
      </c>
      <c r="G188" s="118"/>
      <c r="H188" s="189">
        <f>SUM(H183:H187)</f>
        <v>4852.7</v>
      </c>
      <c r="I188" s="189">
        <f>SUM(I183:I187)</f>
        <v>4852.7</v>
      </c>
      <c r="J188" s="244"/>
      <c r="K188" s="159"/>
    </row>
    <row r="189" spans="1:12" ht="13.8" x14ac:dyDescent="0.25">
      <c r="A189" s="59" t="s">
        <v>35</v>
      </c>
      <c r="B189" s="82" t="s">
        <v>66</v>
      </c>
      <c r="C189" s="241"/>
      <c r="D189" s="84"/>
      <c r="E189" s="85"/>
      <c r="F189" s="86"/>
      <c r="G189" s="85"/>
      <c r="H189" s="86"/>
      <c r="I189" s="86"/>
      <c r="J189" s="249"/>
      <c r="K189" s="159"/>
    </row>
    <row r="190" spans="1:12" ht="13.8" x14ac:dyDescent="0.25">
      <c r="A190" s="130" t="s">
        <v>12</v>
      </c>
      <c r="B190" s="304" t="s">
        <v>131</v>
      </c>
      <c r="C190" s="300">
        <v>23</v>
      </c>
      <c r="D190" s="73" t="s">
        <v>90</v>
      </c>
      <c r="E190" s="118">
        <v>4.2300000000000004</v>
      </c>
      <c r="F190" s="118">
        <f>PRODUCT(E190,C190)</f>
        <v>97.29</v>
      </c>
      <c r="G190" s="118">
        <v>0</v>
      </c>
      <c r="H190" s="118">
        <f>PRODUCT(G190,C190)</f>
        <v>0</v>
      </c>
      <c r="I190" s="118">
        <f>SUM(F190+H190)</f>
        <v>97.29</v>
      </c>
      <c r="J190" s="244">
        <v>643</v>
      </c>
      <c r="K190" s="52">
        <v>2.2400000000000002</v>
      </c>
    </row>
    <row r="191" spans="1:12" ht="13.8" x14ac:dyDescent="0.25">
      <c r="A191" s="130" t="s">
        <v>19</v>
      </c>
      <c r="B191" s="304" t="s">
        <v>68</v>
      </c>
      <c r="C191" s="300">
        <v>20</v>
      </c>
      <c r="D191" s="73" t="s">
        <v>90</v>
      </c>
      <c r="E191" s="118">
        <f>K191</f>
        <v>1.69</v>
      </c>
      <c r="F191" s="118">
        <f>PRODUCT(E191,C191)</f>
        <v>33.799999999999997</v>
      </c>
      <c r="G191" s="118">
        <v>0</v>
      </c>
      <c r="H191" s="118">
        <f>PRODUCT(G191,C191)</f>
        <v>0</v>
      </c>
      <c r="I191" s="118">
        <f>SUM(F191+H191)</f>
        <v>33.799999999999997</v>
      </c>
      <c r="J191" s="244">
        <v>10790</v>
      </c>
      <c r="K191" s="52">
        <v>1.69</v>
      </c>
    </row>
    <row r="192" spans="1:12" ht="13.8" x14ac:dyDescent="0.25">
      <c r="A192" s="130" t="s">
        <v>119</v>
      </c>
      <c r="B192" s="304" t="s">
        <v>67</v>
      </c>
      <c r="C192" s="305">
        <v>9</v>
      </c>
      <c r="D192" s="73" t="s">
        <v>90</v>
      </c>
      <c r="E192" s="118">
        <f>K192</f>
        <v>2.96</v>
      </c>
      <c r="F192" s="118">
        <f>PRODUCT(E192,C192)</f>
        <v>26.64</v>
      </c>
      <c r="G192" s="118">
        <v>0</v>
      </c>
      <c r="H192" s="118">
        <f>PRODUCT(G192,C192)</f>
        <v>0</v>
      </c>
      <c r="I192" s="118">
        <f>SUM(F192+H192)</f>
        <v>26.64</v>
      </c>
      <c r="J192" s="244">
        <v>10486</v>
      </c>
      <c r="K192" s="52">
        <v>2.96</v>
      </c>
    </row>
    <row r="193" spans="1:11" ht="15" customHeight="1" x14ac:dyDescent="0.25">
      <c r="A193" s="130" t="s">
        <v>118</v>
      </c>
      <c r="B193" s="378" t="s">
        <v>132</v>
      </c>
      <c r="C193" s="300">
        <v>46</v>
      </c>
      <c r="D193" s="73" t="s">
        <v>90</v>
      </c>
      <c r="E193" s="118">
        <v>10.26</v>
      </c>
      <c r="F193" s="118">
        <f>PRODUCT(E193,C193)</f>
        <v>471.96</v>
      </c>
      <c r="G193" s="118">
        <v>0</v>
      </c>
      <c r="H193" s="118">
        <f>PRODUCT(G193,C193)</f>
        <v>0</v>
      </c>
      <c r="I193" s="118">
        <f>SUM(F193+H193)</f>
        <v>471.96</v>
      </c>
      <c r="J193" s="244">
        <v>3345</v>
      </c>
      <c r="K193" s="52">
        <v>10.41</v>
      </c>
    </row>
    <row r="194" spans="1:11" ht="13.8" x14ac:dyDescent="0.25">
      <c r="A194" s="130" t="s">
        <v>134</v>
      </c>
      <c r="B194" s="304" t="s">
        <v>229</v>
      </c>
      <c r="C194" s="300">
        <v>15</v>
      </c>
      <c r="D194" s="73" t="s">
        <v>90</v>
      </c>
      <c r="E194" s="118">
        <v>335.56</v>
      </c>
      <c r="F194" s="118">
        <f>PRODUCT(E194,C194)</f>
        <v>5033.3999999999996</v>
      </c>
      <c r="G194" s="118">
        <v>0</v>
      </c>
      <c r="H194" s="118">
        <f>PRODUCT(G194,C194)</f>
        <v>0</v>
      </c>
      <c r="I194" s="118">
        <f>SUM(F194+H194)</f>
        <v>5033.3999999999996</v>
      </c>
      <c r="J194" s="244">
        <v>7373</v>
      </c>
      <c r="K194" s="52">
        <v>1.44</v>
      </c>
    </row>
    <row r="195" spans="1:11" ht="14.4" thickBot="1" x14ac:dyDescent="0.3">
      <c r="A195" s="61"/>
      <c r="B195" s="59" t="s">
        <v>7</v>
      </c>
      <c r="C195" s="89"/>
      <c r="D195" s="89"/>
      <c r="E195" s="118"/>
      <c r="F195" s="189">
        <f>SUM(F190:F194)</f>
        <v>5663.09</v>
      </c>
      <c r="G195" s="118"/>
      <c r="H195" s="189"/>
      <c r="I195" s="189">
        <f>SUM(I190:I194)</f>
        <v>5663.09</v>
      </c>
      <c r="J195" s="51"/>
      <c r="K195" s="159"/>
    </row>
    <row r="196" spans="1:11" ht="14.4" thickBot="1" x14ac:dyDescent="0.3">
      <c r="A196" s="61"/>
      <c r="B196" s="443" t="s">
        <v>99</v>
      </c>
      <c r="C196" s="444"/>
      <c r="D196" s="444"/>
      <c r="E196" s="444"/>
      <c r="F196" s="444"/>
      <c r="G196" s="444"/>
      <c r="H196" s="193"/>
      <c r="I196" s="194">
        <f>SUM(I181+I188+I195)</f>
        <v>27504.402600000001</v>
      </c>
      <c r="J196" s="53"/>
      <c r="K196" s="159"/>
    </row>
    <row r="197" spans="1:11" ht="14.4" thickBot="1" x14ac:dyDescent="0.3">
      <c r="A197" s="61"/>
      <c r="B197" s="476" t="s">
        <v>100</v>
      </c>
      <c r="C197" s="446"/>
      <c r="D197" s="446"/>
      <c r="E197" s="446"/>
      <c r="F197" s="446"/>
      <c r="G197" s="446"/>
      <c r="H197" s="195"/>
      <c r="I197" s="196">
        <v>0.24229999999999999</v>
      </c>
      <c r="J197" s="53"/>
      <c r="K197" s="159"/>
    </row>
    <row r="198" spans="1:11" ht="14.4" thickBot="1" x14ac:dyDescent="0.3">
      <c r="A198" s="61"/>
      <c r="B198" s="443" t="s">
        <v>101</v>
      </c>
      <c r="C198" s="444"/>
      <c r="D198" s="444"/>
      <c r="E198" s="444"/>
      <c r="F198" s="444"/>
      <c r="G198" s="444"/>
      <c r="H198" s="197"/>
      <c r="I198" s="198">
        <f>I196+(I196*I197)</f>
        <v>34168.719349980005</v>
      </c>
      <c r="J198" s="214"/>
      <c r="K198" s="74"/>
    </row>
    <row r="199" spans="1:11" ht="13.8" x14ac:dyDescent="0.25">
      <c r="A199" s="20"/>
      <c r="B199" s="97" t="s">
        <v>56</v>
      </c>
      <c r="C199" s="21"/>
      <c r="D199" s="21"/>
      <c r="E199" s="21"/>
      <c r="G199" s="23"/>
      <c r="H199" s="22"/>
      <c r="I199" s="22"/>
      <c r="J199" s="34"/>
      <c r="K199" s="35"/>
    </row>
    <row r="200" spans="1:11" ht="13.8" x14ac:dyDescent="0.25">
      <c r="A200" s="36"/>
      <c r="B200" s="164" t="s">
        <v>57</v>
      </c>
      <c r="C200" s="20"/>
      <c r="D200" s="35"/>
      <c r="E200" s="21"/>
      <c r="F200" s="21"/>
      <c r="G200" s="21"/>
      <c r="H200" s="20"/>
      <c r="J200" s="35"/>
      <c r="K200" s="35"/>
    </row>
    <row r="201" spans="1:11" ht="13.8" x14ac:dyDescent="0.25">
      <c r="A201" s="33"/>
      <c r="B201" s="164" t="s">
        <v>69</v>
      </c>
      <c r="C201" s="21"/>
      <c r="D201" s="21"/>
      <c r="E201" s="21"/>
      <c r="F201" s="21"/>
      <c r="G201" s="38"/>
      <c r="H201" s="22"/>
      <c r="I201" s="21"/>
      <c r="J201" s="35"/>
      <c r="K201" s="35"/>
    </row>
    <row r="202" spans="1:11" ht="13.8" x14ac:dyDescent="0.25">
      <c r="A202" s="33"/>
      <c r="B202" s="164" t="s">
        <v>58</v>
      </c>
      <c r="C202" s="21"/>
      <c r="D202" s="21"/>
      <c r="E202" s="21"/>
      <c r="F202" s="21"/>
      <c r="G202" s="38"/>
      <c r="H202" s="22"/>
      <c r="I202" s="21"/>
      <c r="J202" s="35"/>
      <c r="K202" s="35"/>
    </row>
    <row r="203" spans="1:11" ht="13.8" x14ac:dyDescent="0.25">
      <c r="A203" s="33"/>
      <c r="B203" s="164" t="s">
        <v>59</v>
      </c>
      <c r="C203" s="21"/>
      <c r="D203" s="21"/>
      <c r="E203" s="21"/>
      <c r="F203" s="21"/>
      <c r="G203" s="38"/>
      <c r="H203" s="22"/>
      <c r="I203" s="21"/>
      <c r="J203" s="35"/>
      <c r="K203" s="35"/>
    </row>
    <row r="204" spans="1:11" ht="13.8" x14ac:dyDescent="0.25">
      <c r="A204" s="33"/>
      <c r="B204" s="165" t="s">
        <v>60</v>
      </c>
      <c r="C204" s="21"/>
      <c r="D204" s="21"/>
      <c r="E204" s="21"/>
      <c r="F204" s="21"/>
      <c r="G204" s="38"/>
      <c r="H204" s="22"/>
      <c r="I204" s="21"/>
      <c r="J204" s="35"/>
      <c r="K204" s="35"/>
    </row>
    <row r="205" spans="1:11" ht="13.8" x14ac:dyDescent="0.25">
      <c r="A205" s="33"/>
      <c r="B205" s="165" t="s">
        <v>61</v>
      </c>
      <c r="C205" s="35"/>
      <c r="D205" s="35"/>
      <c r="E205" s="21"/>
      <c r="F205" s="39"/>
      <c r="G205" s="35"/>
      <c r="H205" s="40"/>
      <c r="I205" s="21"/>
      <c r="J205" s="35"/>
      <c r="K205" s="35"/>
    </row>
    <row r="206" spans="1:11" ht="13.8" x14ac:dyDescent="0.25">
      <c r="A206" s="33"/>
      <c r="B206" s="166" t="s">
        <v>62</v>
      </c>
      <c r="C206" s="35"/>
      <c r="D206" s="35"/>
      <c r="E206" s="35"/>
      <c r="F206" s="35"/>
      <c r="G206" s="35"/>
      <c r="H206" s="40"/>
      <c r="I206" s="21"/>
      <c r="J206" s="35"/>
      <c r="K206" s="35"/>
    </row>
    <row r="207" spans="1:11" ht="13.8" x14ac:dyDescent="0.25">
      <c r="A207" s="33"/>
      <c r="B207" s="102" t="s">
        <v>63</v>
      </c>
      <c r="C207" s="41"/>
      <c r="D207" s="21"/>
      <c r="E207" s="37"/>
      <c r="F207" s="480"/>
      <c r="G207" s="480"/>
      <c r="H207" s="1"/>
      <c r="I207" s="21"/>
      <c r="J207" s="21"/>
      <c r="K207" s="21"/>
    </row>
    <row r="208" spans="1:11" ht="13.8" x14ac:dyDescent="0.25">
      <c r="A208" s="33"/>
      <c r="B208" s="102"/>
      <c r="C208" s="41"/>
      <c r="D208" s="21"/>
      <c r="E208" s="37"/>
      <c r="F208" s="242"/>
      <c r="G208" s="242"/>
      <c r="H208" s="1"/>
      <c r="I208" s="21"/>
      <c r="J208" s="21"/>
      <c r="K208" s="21"/>
    </row>
    <row r="209" spans="1:12" ht="14.4" thickBot="1" x14ac:dyDescent="0.3">
      <c r="A209" s="33"/>
      <c r="B209" s="102"/>
      <c r="C209" s="41"/>
      <c r="D209" s="21"/>
      <c r="E209" s="37"/>
      <c r="F209" s="242"/>
      <c r="G209" s="242"/>
      <c r="H209" s="1"/>
      <c r="I209" s="21"/>
      <c r="J209" s="21"/>
      <c r="K209" s="21"/>
    </row>
    <row r="210" spans="1:12" ht="14.4" thickBot="1" x14ac:dyDescent="0.3">
      <c r="A210" s="447" t="s">
        <v>248</v>
      </c>
      <c r="B210" s="448"/>
      <c r="C210" s="448"/>
      <c r="D210" s="448"/>
      <c r="E210" s="448"/>
      <c r="F210" s="449"/>
      <c r="G210" s="448" t="s">
        <v>199</v>
      </c>
      <c r="H210" s="448"/>
      <c r="I210" s="450"/>
      <c r="J210" s="58" t="s">
        <v>25</v>
      </c>
      <c r="K210" s="58" t="s">
        <v>41</v>
      </c>
    </row>
    <row r="211" spans="1:12" ht="13.8" x14ac:dyDescent="0.25">
      <c r="A211" s="451" t="s">
        <v>0</v>
      </c>
      <c r="B211" s="452" t="s">
        <v>98</v>
      </c>
      <c r="C211" s="452" t="s">
        <v>1</v>
      </c>
      <c r="D211" s="454" t="s">
        <v>2</v>
      </c>
      <c r="E211" s="455" t="s">
        <v>38</v>
      </c>
      <c r="F211" s="456"/>
      <c r="G211" s="455" t="s">
        <v>39</v>
      </c>
      <c r="H211" s="456"/>
      <c r="I211" s="457" t="s">
        <v>4</v>
      </c>
      <c r="J211" s="60" t="s">
        <v>26</v>
      </c>
      <c r="K211" s="60" t="s">
        <v>26</v>
      </c>
    </row>
    <row r="212" spans="1:12" ht="14.4" thickBot="1" x14ac:dyDescent="0.3">
      <c r="A212" s="424"/>
      <c r="B212" s="472"/>
      <c r="C212" s="472"/>
      <c r="D212" s="425"/>
      <c r="E212" s="380" t="s">
        <v>3</v>
      </c>
      <c r="F212" s="381" t="s">
        <v>4</v>
      </c>
      <c r="G212" s="380" t="s">
        <v>3</v>
      </c>
      <c r="H212" s="381" t="s">
        <v>4</v>
      </c>
      <c r="I212" s="426"/>
      <c r="J212" s="69">
        <v>45931</v>
      </c>
      <c r="K212" s="63" t="s">
        <v>42</v>
      </c>
    </row>
    <row r="213" spans="1:12" ht="13.8" x14ac:dyDescent="0.25">
      <c r="A213" s="59" t="s">
        <v>33</v>
      </c>
      <c r="B213" s="57" t="s">
        <v>38</v>
      </c>
      <c r="C213" s="64"/>
      <c r="D213" s="65"/>
      <c r="E213" s="66"/>
      <c r="F213" s="67"/>
      <c r="G213" s="66"/>
      <c r="H213" s="68"/>
      <c r="I213" s="68"/>
      <c r="J213" s="160"/>
      <c r="K213" s="161"/>
    </row>
    <row r="214" spans="1:12" ht="13.8" x14ac:dyDescent="0.25">
      <c r="A214" s="61" t="s">
        <v>5</v>
      </c>
      <c r="B214" s="298" t="s">
        <v>155</v>
      </c>
      <c r="C214" s="239">
        <v>1.155</v>
      </c>
      <c r="D214" s="75" t="s">
        <v>8</v>
      </c>
      <c r="E214" s="118">
        <v>629.36</v>
      </c>
      <c r="F214" s="182">
        <f t="shared" ref="F214:F219" si="9">C214*E214</f>
        <v>726.91079999999999</v>
      </c>
      <c r="G214" s="182">
        <v>0</v>
      </c>
      <c r="H214" s="182">
        <v>0</v>
      </c>
      <c r="I214" s="190">
        <f t="shared" ref="I214:I219" si="10">F214+H214</f>
        <v>726.91079999999999</v>
      </c>
      <c r="J214" s="382">
        <v>38408</v>
      </c>
      <c r="K214" s="256">
        <v>372.28</v>
      </c>
    </row>
    <row r="215" spans="1:12" ht="13.8" x14ac:dyDescent="0.25">
      <c r="A215" s="61" t="s">
        <v>13</v>
      </c>
      <c r="B215" s="298" t="s">
        <v>148</v>
      </c>
      <c r="C215" s="299">
        <v>80</v>
      </c>
      <c r="D215" s="301" t="s">
        <v>128</v>
      </c>
      <c r="E215" s="118">
        <v>9.25</v>
      </c>
      <c r="F215" s="182">
        <f t="shared" si="9"/>
        <v>740</v>
      </c>
      <c r="G215" s="118">
        <v>0</v>
      </c>
      <c r="H215" s="118">
        <f>PRODUCT(G215,C215)</f>
        <v>0</v>
      </c>
      <c r="I215" s="190">
        <f t="shared" si="10"/>
        <v>740</v>
      </c>
      <c r="J215" s="244">
        <v>43055</v>
      </c>
      <c r="K215" s="76">
        <v>3.25</v>
      </c>
    </row>
    <row r="216" spans="1:12" ht="13.8" x14ac:dyDescent="0.25">
      <c r="A216" s="61" t="s">
        <v>20</v>
      </c>
      <c r="B216" s="298" t="s">
        <v>196</v>
      </c>
      <c r="C216" s="299">
        <v>60</v>
      </c>
      <c r="D216" s="301" t="s">
        <v>128</v>
      </c>
      <c r="E216" s="118">
        <v>8.15</v>
      </c>
      <c r="F216" s="182">
        <f t="shared" si="9"/>
        <v>489</v>
      </c>
      <c r="G216" s="118">
        <v>0</v>
      </c>
      <c r="H216" s="118">
        <f>PRODUCT(G216,C216)</f>
        <v>0</v>
      </c>
      <c r="I216" s="190">
        <f t="shared" si="10"/>
        <v>489</v>
      </c>
      <c r="J216" s="244">
        <v>43061</v>
      </c>
      <c r="K216" s="76">
        <v>3.48</v>
      </c>
    </row>
    <row r="217" spans="1:12" ht="13.8" x14ac:dyDescent="0.25">
      <c r="A217" s="61" t="s">
        <v>46</v>
      </c>
      <c r="B217" s="298" t="s">
        <v>91</v>
      </c>
      <c r="C217" s="300">
        <v>0.97</v>
      </c>
      <c r="D217" s="9" t="s">
        <v>16</v>
      </c>
      <c r="E217" s="118">
        <v>105.55</v>
      </c>
      <c r="F217" s="182">
        <f t="shared" si="9"/>
        <v>102.3835</v>
      </c>
      <c r="G217" s="118">
        <v>0</v>
      </c>
      <c r="H217" s="118">
        <f>PRODUCT(G217,C217)</f>
        <v>0</v>
      </c>
      <c r="I217" s="190">
        <f t="shared" si="10"/>
        <v>102.3835</v>
      </c>
      <c r="J217" s="244">
        <v>2692</v>
      </c>
      <c r="K217" s="76">
        <v>3.48</v>
      </c>
      <c r="L217" s="205"/>
    </row>
    <row r="218" spans="1:12" ht="13.8" x14ac:dyDescent="0.25">
      <c r="A218" s="61" t="s">
        <v>47</v>
      </c>
      <c r="B218" s="298" t="s">
        <v>51</v>
      </c>
      <c r="C218" s="302">
        <v>9</v>
      </c>
      <c r="D218" s="303" t="s">
        <v>52</v>
      </c>
      <c r="E218" s="118">
        <v>7.1</v>
      </c>
      <c r="F218" s="182">
        <f t="shared" si="9"/>
        <v>63.9</v>
      </c>
      <c r="G218" s="118">
        <v>0</v>
      </c>
      <c r="H218" s="118">
        <f>PRODUCT(G218,C218)</f>
        <v>0</v>
      </c>
      <c r="I218" s="190">
        <f t="shared" si="10"/>
        <v>63.9</v>
      </c>
      <c r="J218" s="244">
        <v>2692</v>
      </c>
      <c r="K218" s="76">
        <v>3.62</v>
      </c>
    </row>
    <row r="219" spans="1:12" ht="13.8" x14ac:dyDescent="0.25">
      <c r="A219" s="61" t="s">
        <v>48</v>
      </c>
      <c r="B219" s="298" t="s">
        <v>149</v>
      </c>
      <c r="C219" s="300">
        <v>15</v>
      </c>
      <c r="D219" s="9" t="s">
        <v>128</v>
      </c>
      <c r="E219" s="118">
        <v>21.02</v>
      </c>
      <c r="F219" s="182">
        <f t="shared" si="9"/>
        <v>315.3</v>
      </c>
      <c r="G219" s="118">
        <v>0</v>
      </c>
      <c r="H219" s="118">
        <f>PRODUCT(G219,C219)</f>
        <v>0</v>
      </c>
      <c r="I219" s="190">
        <f t="shared" si="10"/>
        <v>315.3</v>
      </c>
      <c r="J219" s="244">
        <v>43132</v>
      </c>
      <c r="K219" s="76">
        <v>57.12</v>
      </c>
    </row>
    <row r="220" spans="1:12" ht="13.8" x14ac:dyDescent="0.25">
      <c r="A220" s="61"/>
      <c r="B220" s="59" t="s">
        <v>7</v>
      </c>
      <c r="C220" s="79"/>
      <c r="D220" s="79"/>
      <c r="E220" s="191"/>
      <c r="F220" s="192">
        <f>SUM(F214:F219)</f>
        <v>2437.4943000000003</v>
      </c>
      <c r="G220" s="191"/>
      <c r="H220" s="192">
        <f>SUM(H214:H219)</f>
        <v>0</v>
      </c>
      <c r="I220" s="377">
        <f>SUM(I214:I219)</f>
        <v>2437.4943000000003</v>
      </c>
      <c r="J220" s="51"/>
      <c r="K220" s="76"/>
    </row>
    <row r="221" spans="1:12" ht="13.8" x14ac:dyDescent="0.25">
      <c r="A221" s="59" t="s">
        <v>34</v>
      </c>
      <c r="B221" s="82" t="s">
        <v>39</v>
      </c>
      <c r="C221" s="233"/>
      <c r="D221" s="84"/>
      <c r="E221" s="85"/>
      <c r="F221" s="86"/>
      <c r="G221" s="85"/>
      <c r="H221" s="86"/>
      <c r="I221" s="86"/>
      <c r="J221" s="162"/>
      <c r="K221" s="163"/>
    </row>
    <row r="222" spans="1:12" ht="13.8" x14ac:dyDescent="0.25">
      <c r="A222" s="61" t="s">
        <v>6</v>
      </c>
      <c r="B222" s="62" t="s">
        <v>136</v>
      </c>
      <c r="C222" s="302">
        <v>8</v>
      </c>
      <c r="D222" s="73" t="s">
        <v>90</v>
      </c>
      <c r="E222" s="182">
        <v>0</v>
      </c>
      <c r="F222" s="182">
        <f>PRODUCT(E222,C222)</f>
        <v>0</v>
      </c>
      <c r="G222" s="118">
        <v>99.98</v>
      </c>
      <c r="H222" s="182">
        <f>PRODUCT(G222,C222)</f>
        <v>799.84</v>
      </c>
      <c r="I222" s="182">
        <f>SUM(F222+H222)</f>
        <v>799.84</v>
      </c>
      <c r="J222" s="382">
        <v>4069</v>
      </c>
      <c r="K222" s="385">
        <v>44.57</v>
      </c>
    </row>
    <row r="223" spans="1:12" ht="13.8" x14ac:dyDescent="0.25">
      <c r="A223" s="61" t="s">
        <v>11</v>
      </c>
      <c r="B223" s="62" t="s">
        <v>137</v>
      </c>
      <c r="C223" s="300">
        <v>8</v>
      </c>
      <c r="D223" s="73" t="s">
        <v>90</v>
      </c>
      <c r="E223" s="182">
        <v>0</v>
      </c>
      <c r="F223" s="182">
        <f>PRODUCT(E223,C223)</f>
        <v>0</v>
      </c>
      <c r="G223" s="118">
        <v>15.68</v>
      </c>
      <c r="H223" s="182">
        <f>PRODUCT(G223,C223)</f>
        <v>125.44</v>
      </c>
      <c r="I223" s="182">
        <f>SUM(F223+H223)</f>
        <v>125.44</v>
      </c>
      <c r="J223" s="382">
        <v>1213</v>
      </c>
      <c r="K223" s="385">
        <v>13.04</v>
      </c>
    </row>
    <row r="224" spans="1:12" ht="13.8" x14ac:dyDescent="0.25">
      <c r="A224" s="61" t="s">
        <v>53</v>
      </c>
      <c r="B224" s="62" t="s">
        <v>138</v>
      </c>
      <c r="C224" s="300">
        <v>8</v>
      </c>
      <c r="D224" s="73" t="s">
        <v>90</v>
      </c>
      <c r="E224" s="182">
        <v>0</v>
      </c>
      <c r="F224" s="182">
        <f>PRODUCT(E224,C224)</f>
        <v>0</v>
      </c>
      <c r="G224" s="118">
        <v>15.56</v>
      </c>
      <c r="H224" s="182">
        <f>PRODUCT(G224,C224)</f>
        <v>124.48</v>
      </c>
      <c r="I224" s="182">
        <f>SUM(F224+H224)</f>
        <v>124.48</v>
      </c>
      <c r="J224" s="382">
        <v>4750</v>
      </c>
      <c r="K224" s="385">
        <v>13.04</v>
      </c>
    </row>
    <row r="225" spans="1:12" ht="13.8" x14ac:dyDescent="0.25">
      <c r="A225" s="61" t="s">
        <v>54</v>
      </c>
      <c r="B225" s="62" t="s">
        <v>143</v>
      </c>
      <c r="C225" s="300">
        <v>9</v>
      </c>
      <c r="D225" s="73" t="s">
        <v>90</v>
      </c>
      <c r="E225" s="118">
        <v>0</v>
      </c>
      <c r="F225" s="118">
        <f>PRODUCT(E225,C225)</f>
        <v>0</v>
      </c>
      <c r="G225" s="118">
        <v>18.559999999999999</v>
      </c>
      <c r="H225" s="118">
        <f>PRODUCT(G225,C225)</f>
        <v>167.04</v>
      </c>
      <c r="I225" s="118">
        <f>SUM(F225+H225)</f>
        <v>167.04</v>
      </c>
      <c r="J225" s="382">
        <v>378</v>
      </c>
      <c r="K225" s="385">
        <v>13.04</v>
      </c>
    </row>
    <row r="226" spans="1:12" ht="13.8" x14ac:dyDescent="0.25">
      <c r="A226" s="61" t="s">
        <v>55</v>
      </c>
      <c r="B226" s="62" t="s">
        <v>139</v>
      </c>
      <c r="C226" s="300">
        <v>9</v>
      </c>
      <c r="D226" s="73" t="s">
        <v>90</v>
      </c>
      <c r="E226" s="118">
        <v>0</v>
      </c>
      <c r="F226" s="118">
        <f>PRODUCT(E226,C226)</f>
        <v>0</v>
      </c>
      <c r="G226" s="118">
        <f>K226</f>
        <v>9.9600000000000009</v>
      </c>
      <c r="H226" s="118">
        <f>PRODUCT(G226,C226)</f>
        <v>89.640000000000015</v>
      </c>
      <c r="I226" s="118">
        <f>SUM(F226+H226)</f>
        <v>89.640000000000015</v>
      </c>
      <c r="J226" s="382">
        <v>6111</v>
      </c>
      <c r="K226" s="385">
        <v>9.9600000000000009</v>
      </c>
    </row>
    <row r="227" spans="1:12" ht="13.8" x14ac:dyDescent="0.25">
      <c r="A227" s="61"/>
      <c r="B227" s="59" t="s">
        <v>7</v>
      </c>
      <c r="C227" s="239"/>
      <c r="D227" s="89"/>
      <c r="E227" s="118"/>
      <c r="F227" s="189">
        <f>SUM(F222:F226)</f>
        <v>0</v>
      </c>
      <c r="G227" s="118"/>
      <c r="H227" s="189">
        <f>SUM(H222:H226)</f>
        <v>1306.44</v>
      </c>
      <c r="I227" s="189">
        <f>SUM(I222:I226)</f>
        <v>1306.44</v>
      </c>
      <c r="J227" s="244"/>
      <c r="K227" s="159"/>
    </row>
    <row r="228" spans="1:12" ht="13.8" x14ac:dyDescent="0.25">
      <c r="A228" s="59" t="s">
        <v>35</v>
      </c>
      <c r="B228" s="82" t="s">
        <v>66</v>
      </c>
      <c r="C228" s="241"/>
      <c r="D228" s="84"/>
      <c r="E228" s="85"/>
      <c r="F228" s="86"/>
      <c r="G228" s="85"/>
      <c r="H228" s="86"/>
      <c r="I228" s="86"/>
      <c r="J228" s="249"/>
      <c r="K228" s="159"/>
    </row>
    <row r="229" spans="1:12" ht="13.8" x14ac:dyDescent="0.25">
      <c r="A229" s="130" t="s">
        <v>12</v>
      </c>
      <c r="B229" s="304" t="s">
        <v>131</v>
      </c>
      <c r="C229" s="300">
        <v>8</v>
      </c>
      <c r="D229" s="73" t="s">
        <v>90</v>
      </c>
      <c r="E229" s="118">
        <f>K229</f>
        <v>2.2400000000000002</v>
      </c>
      <c r="F229" s="118">
        <f>PRODUCT(E229,C229)</f>
        <v>17.920000000000002</v>
      </c>
      <c r="G229" s="118">
        <v>0</v>
      </c>
      <c r="H229" s="118">
        <f>PRODUCT(G229,C229)</f>
        <v>0</v>
      </c>
      <c r="I229" s="118">
        <f>SUM(F229+H229)</f>
        <v>17.920000000000002</v>
      </c>
      <c r="J229" s="244">
        <v>643</v>
      </c>
      <c r="K229" s="52">
        <v>2.2400000000000002</v>
      </c>
    </row>
    <row r="230" spans="1:12" ht="13.8" x14ac:dyDescent="0.25">
      <c r="A230" s="130" t="s">
        <v>19</v>
      </c>
      <c r="B230" s="304" t="s">
        <v>68</v>
      </c>
      <c r="C230" s="300">
        <v>8</v>
      </c>
      <c r="D230" s="73" t="s">
        <v>90</v>
      </c>
      <c r="E230" s="118">
        <f>K230</f>
        <v>1.69</v>
      </c>
      <c r="F230" s="118">
        <f>PRODUCT(E230,C230)</f>
        <v>13.52</v>
      </c>
      <c r="G230" s="118">
        <v>0</v>
      </c>
      <c r="H230" s="118">
        <f>PRODUCT(G230,C230)</f>
        <v>0</v>
      </c>
      <c r="I230" s="118">
        <f>SUM(F230+H230)</f>
        <v>13.52</v>
      </c>
      <c r="J230" s="244">
        <v>10790</v>
      </c>
      <c r="K230" s="52">
        <v>1.69</v>
      </c>
    </row>
    <row r="231" spans="1:12" ht="13.8" x14ac:dyDescent="0.25">
      <c r="A231" s="130" t="s">
        <v>119</v>
      </c>
      <c r="B231" s="304" t="s">
        <v>67</v>
      </c>
      <c r="C231" s="305">
        <v>4</v>
      </c>
      <c r="D231" s="73" t="s">
        <v>90</v>
      </c>
      <c r="E231" s="118">
        <f>K231</f>
        <v>2.96</v>
      </c>
      <c r="F231" s="118">
        <f>PRODUCT(E231,C231)</f>
        <v>11.84</v>
      </c>
      <c r="G231" s="118">
        <v>0</v>
      </c>
      <c r="H231" s="118">
        <f>PRODUCT(G231,C231)</f>
        <v>0</v>
      </c>
      <c r="I231" s="118">
        <f>SUM(F231+H231)</f>
        <v>11.84</v>
      </c>
      <c r="J231" s="244">
        <v>10486</v>
      </c>
      <c r="K231" s="52">
        <v>2.96</v>
      </c>
    </row>
    <row r="232" spans="1:12" ht="22.5" customHeight="1" x14ac:dyDescent="0.25">
      <c r="A232" s="130" t="s">
        <v>118</v>
      </c>
      <c r="B232" s="378" t="s">
        <v>132</v>
      </c>
      <c r="C232" s="300">
        <v>9</v>
      </c>
      <c r="D232" s="73" t="s">
        <v>90</v>
      </c>
      <c r="E232" s="118">
        <f>K232</f>
        <v>10.41</v>
      </c>
      <c r="F232" s="118">
        <f>PRODUCT(E232,C232)</f>
        <v>93.69</v>
      </c>
      <c r="G232" s="118">
        <v>0</v>
      </c>
      <c r="H232" s="118">
        <f>PRODUCT(G232,C232)</f>
        <v>0</v>
      </c>
      <c r="I232" s="118">
        <f>SUM(F232+H232)</f>
        <v>93.69</v>
      </c>
      <c r="J232" s="244">
        <v>3345</v>
      </c>
      <c r="K232" s="52">
        <v>10.41</v>
      </c>
    </row>
    <row r="233" spans="1:12" ht="13.8" x14ac:dyDescent="0.25">
      <c r="A233" s="130"/>
      <c r="B233" s="304"/>
      <c r="C233" s="300"/>
      <c r="D233" s="73"/>
      <c r="E233" s="118" t="str">
        <f>K233</f>
        <v xml:space="preserve"> </v>
      </c>
      <c r="F233" s="118"/>
      <c r="G233" s="118"/>
      <c r="H233" s="118"/>
      <c r="I233" s="118">
        <f>SUM(F233+H233)</f>
        <v>0</v>
      </c>
      <c r="J233" s="244">
        <v>7373</v>
      </c>
      <c r="K233" s="52" t="s">
        <v>219</v>
      </c>
    </row>
    <row r="234" spans="1:12" ht="14.4" thickBot="1" x14ac:dyDescent="0.3">
      <c r="A234" s="61"/>
      <c r="B234" s="59" t="s">
        <v>7</v>
      </c>
      <c r="C234" s="89"/>
      <c r="D234" s="89"/>
      <c r="E234" s="118"/>
      <c r="F234" s="189">
        <f>SUM(F229:F233)</f>
        <v>136.97</v>
      </c>
      <c r="G234" s="118"/>
      <c r="H234" s="189"/>
      <c r="I234" s="189">
        <f>SUM(I229:I233)</f>
        <v>136.97</v>
      </c>
      <c r="J234" s="51"/>
      <c r="K234" s="159"/>
    </row>
    <row r="235" spans="1:12" ht="14.4" thickBot="1" x14ac:dyDescent="0.3">
      <c r="A235" s="61"/>
      <c r="B235" s="443" t="s">
        <v>99</v>
      </c>
      <c r="C235" s="444"/>
      <c r="D235" s="444"/>
      <c r="E235" s="444"/>
      <c r="F235" s="444"/>
      <c r="G235" s="444"/>
      <c r="H235" s="193"/>
      <c r="I235" s="194">
        <f>SUM(I220+I227+I234)</f>
        <v>3880.9043000000001</v>
      </c>
      <c r="J235" s="53"/>
      <c r="K235" s="159"/>
      <c r="L235" s="252"/>
    </row>
    <row r="236" spans="1:12" ht="14.4" thickBot="1" x14ac:dyDescent="0.3">
      <c r="A236" s="61"/>
      <c r="B236" s="476" t="s">
        <v>100</v>
      </c>
      <c r="C236" s="446"/>
      <c r="D236" s="446"/>
      <c r="E236" s="446"/>
      <c r="F236" s="446"/>
      <c r="G236" s="446"/>
      <c r="H236" s="195"/>
      <c r="I236" s="196">
        <v>0.24229999999999999</v>
      </c>
      <c r="J236" s="53"/>
      <c r="K236" s="159"/>
    </row>
    <row r="237" spans="1:12" ht="14.4" thickBot="1" x14ac:dyDescent="0.3">
      <c r="A237" s="61"/>
      <c r="B237" s="443" t="s">
        <v>101</v>
      </c>
      <c r="C237" s="444"/>
      <c r="D237" s="444"/>
      <c r="E237" s="444"/>
      <c r="F237" s="444"/>
      <c r="G237" s="444"/>
      <c r="H237" s="197"/>
      <c r="I237" s="198">
        <f>I235+(I235*I236)</f>
        <v>4821.24741189</v>
      </c>
      <c r="J237" s="214"/>
      <c r="K237" s="74"/>
    </row>
    <row r="238" spans="1:12" ht="14.4" thickBot="1" x14ac:dyDescent="0.3">
      <c r="A238" s="466" t="s">
        <v>214</v>
      </c>
      <c r="B238" s="467"/>
      <c r="C238" s="467"/>
      <c r="D238" s="467"/>
      <c r="E238" s="467"/>
      <c r="F238" s="467"/>
      <c r="G238" s="467"/>
      <c r="H238" s="468"/>
      <c r="I238" s="275">
        <f>I235/C214</f>
        <v>3360.0903030303029</v>
      </c>
      <c r="J238" s="276"/>
      <c r="K238" s="277"/>
    </row>
    <row r="239" spans="1:12" ht="13.8" x14ac:dyDescent="0.25">
      <c r="A239" s="33"/>
      <c r="B239" s="102"/>
      <c r="C239" s="41"/>
      <c r="D239" s="21"/>
      <c r="E239" s="37"/>
      <c r="F239" s="242"/>
      <c r="G239" s="242"/>
      <c r="H239" s="1"/>
      <c r="I239" s="21"/>
      <c r="J239" s="21"/>
      <c r="K239" s="21"/>
    </row>
    <row r="240" spans="1:12" ht="13.8" thickBot="1" x14ac:dyDescent="0.3"/>
    <row r="241" spans="1:11" ht="14.4" thickBot="1" x14ac:dyDescent="0.3">
      <c r="A241" s="443" t="s">
        <v>232</v>
      </c>
      <c r="B241" s="444"/>
      <c r="C241" s="444"/>
      <c r="D241" s="444"/>
      <c r="E241" s="444"/>
      <c r="F241" s="459"/>
      <c r="G241" s="448" t="s">
        <v>127</v>
      </c>
      <c r="H241" s="448"/>
      <c r="I241" s="450"/>
      <c r="J241" s="58" t="s">
        <v>25</v>
      </c>
      <c r="K241" s="58" t="s">
        <v>41</v>
      </c>
    </row>
    <row r="242" spans="1:11" ht="13.8" x14ac:dyDescent="0.25">
      <c r="A242" s="451" t="s">
        <v>0</v>
      </c>
      <c r="B242" s="452" t="s">
        <v>98</v>
      </c>
      <c r="C242" s="452" t="s">
        <v>1</v>
      </c>
      <c r="D242" s="454" t="s">
        <v>2</v>
      </c>
      <c r="E242" s="455" t="s">
        <v>38</v>
      </c>
      <c r="F242" s="456"/>
      <c r="G242" s="455" t="s">
        <v>39</v>
      </c>
      <c r="H242" s="456"/>
      <c r="I242" s="457" t="s">
        <v>4</v>
      </c>
      <c r="J242" s="60" t="s">
        <v>26</v>
      </c>
      <c r="K242" s="60" t="s">
        <v>26</v>
      </c>
    </row>
    <row r="243" spans="1:11" ht="14.4" thickBot="1" x14ac:dyDescent="0.3">
      <c r="A243" s="424"/>
      <c r="B243" s="472"/>
      <c r="C243" s="472"/>
      <c r="D243" s="425"/>
      <c r="E243" s="380" t="s">
        <v>3</v>
      </c>
      <c r="F243" s="381" t="s">
        <v>4</v>
      </c>
      <c r="G243" s="380" t="s">
        <v>3</v>
      </c>
      <c r="H243" s="381" t="s">
        <v>4</v>
      </c>
      <c r="I243" s="426"/>
      <c r="J243" s="69">
        <v>45931</v>
      </c>
      <c r="K243" s="63" t="s">
        <v>42</v>
      </c>
    </row>
    <row r="244" spans="1:11" ht="13.8" x14ac:dyDescent="0.25">
      <c r="A244" s="59" t="s">
        <v>33</v>
      </c>
      <c r="B244" s="57" t="s">
        <v>38</v>
      </c>
      <c r="C244" s="64"/>
      <c r="D244" s="65"/>
      <c r="E244" s="66"/>
      <c r="F244" s="67"/>
      <c r="G244" s="66"/>
      <c r="H244" s="68"/>
      <c r="I244" s="68"/>
      <c r="J244" s="69"/>
      <c r="K244" s="70"/>
    </row>
    <row r="245" spans="1:11" ht="13.8" x14ac:dyDescent="0.25">
      <c r="A245" s="61" t="s">
        <v>5</v>
      </c>
      <c r="B245" s="71" t="s">
        <v>43</v>
      </c>
      <c r="C245" s="250">
        <v>2.5</v>
      </c>
      <c r="D245" s="73" t="s">
        <v>64</v>
      </c>
      <c r="E245" s="155">
        <v>0.9</v>
      </c>
      <c r="F245" s="155">
        <f>PRODUCT(C245:E245)</f>
        <v>2.25</v>
      </c>
      <c r="G245" s="155">
        <v>0</v>
      </c>
      <c r="H245" s="155">
        <v>0</v>
      </c>
      <c r="I245" s="155">
        <f>SUM(F245+H245)</f>
        <v>2.25</v>
      </c>
      <c r="J245" s="243">
        <v>34753</v>
      </c>
      <c r="K245" s="50">
        <v>0.52</v>
      </c>
    </row>
    <row r="246" spans="1:11" ht="13.8" x14ac:dyDescent="0.25">
      <c r="A246" s="61" t="s">
        <v>13</v>
      </c>
      <c r="B246" s="71" t="s">
        <v>44</v>
      </c>
      <c r="C246" s="251">
        <v>5.3100000000000001E-2</v>
      </c>
      <c r="D246" s="75" t="s">
        <v>8</v>
      </c>
      <c r="E246" s="155">
        <v>100</v>
      </c>
      <c r="F246" s="156">
        <f>PRODUCT(E246,C246)</f>
        <v>5.3100000000000005</v>
      </c>
      <c r="G246" s="156">
        <v>0</v>
      </c>
      <c r="H246" s="156">
        <f>PRODUCT(G246,C246)</f>
        <v>0</v>
      </c>
      <c r="I246" s="156">
        <f>SUM(F246+H246)</f>
        <v>5.3100000000000005</v>
      </c>
      <c r="J246" s="244">
        <v>370</v>
      </c>
      <c r="K246" s="52">
        <v>60</v>
      </c>
    </row>
    <row r="247" spans="1:11" ht="13.8" x14ac:dyDescent="0.25">
      <c r="A247" s="61" t="s">
        <v>20</v>
      </c>
      <c r="B247" s="71" t="s">
        <v>45</v>
      </c>
      <c r="C247" s="251">
        <v>5.3100000000000001E-2</v>
      </c>
      <c r="D247" s="75" t="s">
        <v>8</v>
      </c>
      <c r="E247" s="155">
        <v>100</v>
      </c>
      <c r="F247" s="156">
        <f>PRODUCT(E247,C247)</f>
        <v>5.3100000000000005</v>
      </c>
      <c r="G247" s="156">
        <v>0</v>
      </c>
      <c r="H247" s="156">
        <f>PRODUCT(G247,C247)</f>
        <v>0</v>
      </c>
      <c r="I247" s="156">
        <f>SUM(F247+H247)</f>
        <v>5.3100000000000005</v>
      </c>
      <c r="J247" s="244">
        <v>4721</v>
      </c>
      <c r="K247" s="52">
        <v>45.44</v>
      </c>
    </row>
    <row r="248" spans="1:11" ht="13.8" x14ac:dyDescent="0.25">
      <c r="A248" s="61" t="s">
        <v>46</v>
      </c>
      <c r="B248" s="71" t="s">
        <v>140</v>
      </c>
      <c r="C248" s="251">
        <v>1</v>
      </c>
      <c r="D248" s="75" t="s">
        <v>10</v>
      </c>
      <c r="E248" s="155">
        <f>K248</f>
        <v>6.94</v>
      </c>
      <c r="F248" s="156">
        <f>PRODUCT(E248,C248)</f>
        <v>6.94</v>
      </c>
      <c r="G248" s="156">
        <v>0</v>
      </c>
      <c r="H248" s="156">
        <f>PRODUCT(G248,C248)</f>
        <v>0</v>
      </c>
      <c r="I248" s="156">
        <f>SUM(F248+H248)</f>
        <v>6.94</v>
      </c>
      <c r="J248" s="244">
        <v>42407</v>
      </c>
      <c r="K248" s="52">
        <v>6.94</v>
      </c>
    </row>
    <row r="249" spans="1:11" ht="13.8" x14ac:dyDescent="0.25">
      <c r="A249" s="61"/>
      <c r="B249" s="59" t="s">
        <v>7</v>
      </c>
      <c r="C249" s="78"/>
      <c r="D249" s="79"/>
      <c r="E249" s="78"/>
      <c r="F249" s="158">
        <f>SUM(F245:F248)</f>
        <v>19.810000000000002</v>
      </c>
      <c r="G249" s="78"/>
      <c r="H249" s="80"/>
      <c r="I249" s="158">
        <f>SUM(I245:I248)</f>
        <v>19.810000000000002</v>
      </c>
      <c r="J249" s="245"/>
      <c r="K249" s="81"/>
    </row>
    <row r="250" spans="1:11" ht="13.8" x14ac:dyDescent="0.25">
      <c r="A250" s="59" t="s">
        <v>34</v>
      </c>
      <c r="B250" s="82" t="s">
        <v>39</v>
      </c>
      <c r="C250" s="83"/>
      <c r="D250" s="84"/>
      <c r="E250" s="85"/>
      <c r="F250" s="86"/>
      <c r="G250" s="85"/>
      <c r="H250" s="86"/>
      <c r="I250" s="86"/>
      <c r="J250" s="297"/>
      <c r="K250" s="87"/>
    </row>
    <row r="251" spans="1:11" ht="13.8" x14ac:dyDescent="0.25">
      <c r="A251" s="61" t="s">
        <v>6</v>
      </c>
      <c r="B251" s="62" t="s">
        <v>70</v>
      </c>
      <c r="C251" s="240">
        <v>0.2</v>
      </c>
      <c r="D251" s="73" t="s">
        <v>65</v>
      </c>
      <c r="E251" s="167">
        <v>0</v>
      </c>
      <c r="F251" s="155">
        <f>PRODUCT(E251,C251)</f>
        <v>0</v>
      </c>
      <c r="G251" s="155">
        <v>15.68</v>
      </c>
      <c r="H251" s="155">
        <f>PRODUCT(G251,C251)</f>
        <v>3.1360000000000001</v>
      </c>
      <c r="I251" s="155">
        <f>SUM(F251+H251)</f>
        <v>3.1360000000000001</v>
      </c>
      <c r="J251" s="243">
        <v>4750</v>
      </c>
      <c r="K251" s="50">
        <v>13.04</v>
      </c>
    </row>
    <row r="252" spans="1:11" ht="13.8" x14ac:dyDescent="0.25">
      <c r="A252" s="61" t="s">
        <v>11</v>
      </c>
      <c r="B252" s="62" t="s">
        <v>71</v>
      </c>
      <c r="C252" s="239">
        <v>0.2</v>
      </c>
      <c r="D252" s="75" t="s">
        <v>65</v>
      </c>
      <c r="E252" s="152">
        <v>0</v>
      </c>
      <c r="F252" s="156">
        <f>PRODUCT(E252,C252)</f>
        <v>0</v>
      </c>
      <c r="G252" s="155">
        <v>18.559999999999999</v>
      </c>
      <c r="H252" s="156">
        <f>PRODUCT(G252,C252)</f>
        <v>3.7119999999999997</v>
      </c>
      <c r="I252" s="156">
        <f>SUM(F252+H252)</f>
        <v>3.7119999999999997</v>
      </c>
      <c r="J252" s="244">
        <v>378</v>
      </c>
      <c r="K252" s="52">
        <v>13.04</v>
      </c>
    </row>
    <row r="253" spans="1:11" ht="13.8" x14ac:dyDescent="0.25">
      <c r="A253" s="61" t="s">
        <v>53</v>
      </c>
      <c r="B253" s="62" t="s">
        <v>72</v>
      </c>
      <c r="C253" s="239">
        <v>0.45</v>
      </c>
      <c r="D253" s="75" t="s">
        <v>65</v>
      </c>
      <c r="E253" s="152">
        <v>0</v>
      </c>
      <c r="F253" s="156">
        <f>PRODUCT(E253,C253)</f>
        <v>0</v>
      </c>
      <c r="G253" s="155">
        <v>14.58</v>
      </c>
      <c r="H253" s="156">
        <f>PRODUCT(G253,C253)</f>
        <v>6.5609999999999999</v>
      </c>
      <c r="I253" s="156">
        <f>SUM(F253+H253)</f>
        <v>6.5609999999999999</v>
      </c>
      <c r="J253" s="244">
        <v>6111</v>
      </c>
      <c r="K253" s="52">
        <v>9.9600000000000009</v>
      </c>
    </row>
    <row r="254" spans="1:11" ht="13.8" x14ac:dyDescent="0.25">
      <c r="A254" s="61"/>
      <c r="B254" s="59" t="s">
        <v>7</v>
      </c>
      <c r="C254" s="90"/>
      <c r="D254" s="90"/>
      <c r="E254" s="90"/>
      <c r="F254" s="158">
        <f>SUM(F251:F253)</f>
        <v>0</v>
      </c>
      <c r="G254" s="90"/>
      <c r="H254" s="158"/>
      <c r="I254" s="168">
        <f>SUM(I251:I253)</f>
        <v>13.408999999999999</v>
      </c>
      <c r="J254" s="91"/>
      <c r="K254" s="92"/>
    </row>
    <row r="255" spans="1:11" ht="13.8" x14ac:dyDescent="0.25">
      <c r="A255" s="61"/>
      <c r="B255" s="55" t="s">
        <v>73</v>
      </c>
      <c r="C255" s="83"/>
      <c r="D255" s="85"/>
      <c r="E255" s="85"/>
      <c r="F255" s="93"/>
      <c r="G255" s="85"/>
      <c r="H255" s="94"/>
      <c r="I255" s="95">
        <f>SUM(I249+I254)</f>
        <v>33.219000000000001</v>
      </c>
      <c r="J255" s="215"/>
      <c r="K255" s="216"/>
    </row>
    <row r="256" spans="1:11" ht="13.8" x14ac:dyDescent="0.25">
      <c r="A256" s="96"/>
      <c r="B256" s="97" t="s">
        <v>56</v>
      </c>
      <c r="C256" s="98"/>
      <c r="D256" s="99"/>
      <c r="E256" s="100"/>
      <c r="F256" s="100"/>
      <c r="G256" s="100"/>
      <c r="H256" s="98"/>
      <c r="I256" s="101"/>
      <c r="J256" s="99"/>
      <c r="K256" s="99"/>
    </row>
    <row r="257" spans="1:11" ht="13.8" x14ac:dyDescent="0.25">
      <c r="A257" s="96"/>
      <c r="B257" s="102" t="s">
        <v>57</v>
      </c>
      <c r="C257" s="100"/>
      <c r="D257" s="100"/>
      <c r="E257" s="100"/>
      <c r="F257" s="100"/>
      <c r="G257" s="103"/>
      <c r="H257" s="104"/>
      <c r="I257" s="100"/>
      <c r="J257" s="99"/>
      <c r="K257" s="99"/>
    </row>
    <row r="258" spans="1:11" ht="13.8" x14ac:dyDescent="0.25">
      <c r="A258" s="96"/>
      <c r="B258" s="102" t="s">
        <v>74</v>
      </c>
      <c r="C258" s="99"/>
      <c r="D258" s="99"/>
      <c r="E258" s="100"/>
      <c r="F258" s="105"/>
      <c r="G258" s="99"/>
      <c r="H258" s="106"/>
      <c r="I258" s="100"/>
      <c r="J258" s="99"/>
      <c r="K258" s="99"/>
    </row>
    <row r="259" spans="1:11" ht="13.8" x14ac:dyDescent="0.25">
      <c r="A259" s="96"/>
      <c r="B259" s="97" t="s">
        <v>75</v>
      </c>
      <c r="C259" s="99"/>
      <c r="D259" s="99"/>
      <c r="E259" s="99"/>
      <c r="F259" s="99"/>
      <c r="G259" s="99"/>
      <c r="H259" s="106"/>
      <c r="I259" s="100"/>
      <c r="J259" s="99"/>
      <c r="K259" s="99"/>
    </row>
    <row r="260" spans="1:11" ht="13.8" x14ac:dyDescent="0.25">
      <c r="A260" s="96"/>
      <c r="B260" s="97" t="s">
        <v>76</v>
      </c>
      <c r="C260" s="107"/>
      <c r="D260" s="100"/>
      <c r="E260" s="102"/>
      <c r="F260" s="475"/>
      <c r="G260" s="475"/>
      <c r="H260" s="108"/>
      <c r="I260" s="109"/>
      <c r="J260" s="100"/>
      <c r="K260" s="100"/>
    </row>
    <row r="261" spans="1:11" ht="13.8" x14ac:dyDescent="0.25">
      <c r="A261" s="96"/>
      <c r="B261" s="102" t="s">
        <v>77</v>
      </c>
      <c r="C261" s="96"/>
      <c r="D261" s="100"/>
      <c r="E261" s="100"/>
      <c r="F261" s="110"/>
      <c r="G261" s="110"/>
      <c r="H261" s="106"/>
      <c r="I261" s="100"/>
      <c r="J261" s="99"/>
      <c r="K261" s="99"/>
    </row>
    <row r="262" spans="1:11" ht="13.8" x14ac:dyDescent="0.25">
      <c r="A262" s="96"/>
      <c r="B262" s="102" t="s">
        <v>78</v>
      </c>
      <c r="C262" s="100"/>
      <c r="D262" s="100"/>
      <c r="E262" s="100"/>
      <c r="F262" s="111"/>
      <c r="G262" s="111"/>
      <c r="H262" s="106"/>
      <c r="I262" s="100"/>
      <c r="J262" s="99"/>
      <c r="K262" s="99"/>
    </row>
    <row r="263" spans="1:11" ht="14.4" thickBot="1" x14ac:dyDescent="0.3">
      <c r="A263" s="96"/>
      <c r="B263" s="102"/>
      <c r="C263" s="100"/>
      <c r="D263" s="100"/>
      <c r="E263" s="100"/>
      <c r="F263" s="111"/>
      <c r="G263" s="111"/>
      <c r="H263" s="106"/>
      <c r="I263" s="100"/>
      <c r="J263" s="99"/>
      <c r="K263" s="99"/>
    </row>
    <row r="264" spans="1:11" ht="14.4" thickBot="1" x14ac:dyDescent="0.3">
      <c r="A264" s="443" t="s">
        <v>233</v>
      </c>
      <c r="B264" s="444"/>
      <c r="C264" s="444"/>
      <c r="D264" s="444"/>
      <c r="E264" s="444"/>
      <c r="F264" s="459"/>
      <c r="G264" s="448" t="s">
        <v>127</v>
      </c>
      <c r="H264" s="448"/>
      <c r="I264" s="450"/>
      <c r="J264" s="58" t="s">
        <v>25</v>
      </c>
      <c r="K264" s="58" t="s">
        <v>41</v>
      </c>
    </row>
    <row r="265" spans="1:11" ht="13.8" x14ac:dyDescent="0.25">
      <c r="A265" s="451" t="s">
        <v>0</v>
      </c>
      <c r="B265" s="452" t="s">
        <v>98</v>
      </c>
      <c r="C265" s="452" t="s">
        <v>1</v>
      </c>
      <c r="D265" s="454" t="s">
        <v>2</v>
      </c>
      <c r="E265" s="455" t="s">
        <v>38</v>
      </c>
      <c r="F265" s="456"/>
      <c r="G265" s="455" t="s">
        <v>39</v>
      </c>
      <c r="H265" s="456"/>
      <c r="I265" s="457" t="s">
        <v>4</v>
      </c>
      <c r="J265" s="60" t="s">
        <v>26</v>
      </c>
      <c r="K265" s="60" t="s">
        <v>26</v>
      </c>
    </row>
    <row r="266" spans="1:11" ht="14.4" thickBot="1" x14ac:dyDescent="0.3">
      <c r="A266" s="424"/>
      <c r="B266" s="472"/>
      <c r="C266" s="472"/>
      <c r="D266" s="425"/>
      <c r="E266" s="380" t="s">
        <v>3</v>
      </c>
      <c r="F266" s="381" t="s">
        <v>4</v>
      </c>
      <c r="G266" s="380" t="s">
        <v>3</v>
      </c>
      <c r="H266" s="381" t="s">
        <v>4</v>
      </c>
      <c r="I266" s="426"/>
      <c r="J266" s="69">
        <v>45931</v>
      </c>
      <c r="K266" s="63" t="s">
        <v>42</v>
      </c>
    </row>
    <row r="267" spans="1:11" ht="13.8" x14ac:dyDescent="0.25">
      <c r="A267" s="59" t="s">
        <v>79</v>
      </c>
      <c r="B267" s="82" t="s">
        <v>39</v>
      </c>
      <c r="C267" s="83"/>
      <c r="D267" s="84"/>
      <c r="E267" s="85"/>
      <c r="F267" s="86"/>
      <c r="G267" s="85"/>
      <c r="H267" s="86"/>
      <c r="I267" s="86"/>
      <c r="J267" s="69"/>
      <c r="K267" s="113"/>
    </row>
    <row r="268" spans="1:11" ht="13.8" x14ac:dyDescent="0.25">
      <c r="A268" s="61" t="s">
        <v>5</v>
      </c>
      <c r="B268" s="62" t="s">
        <v>136</v>
      </c>
      <c r="C268" s="240">
        <v>0.1</v>
      </c>
      <c r="D268" s="73" t="s">
        <v>65</v>
      </c>
      <c r="E268" s="167">
        <v>0</v>
      </c>
      <c r="F268" s="155">
        <f>PRODUCT(E268,C268)</f>
        <v>0</v>
      </c>
      <c r="G268" s="72">
        <v>99.98</v>
      </c>
      <c r="H268" s="155">
        <f>PRODUCT(G268,C268)</f>
        <v>9.9980000000000011</v>
      </c>
      <c r="I268" s="155">
        <f>SUM(F268+H268)</f>
        <v>9.9980000000000011</v>
      </c>
      <c r="J268" s="243">
        <v>4069</v>
      </c>
      <c r="K268" s="50">
        <v>44.57</v>
      </c>
    </row>
    <row r="269" spans="1:11" ht="13.8" x14ac:dyDescent="0.25">
      <c r="A269" s="61" t="s">
        <v>13</v>
      </c>
      <c r="B269" s="62" t="s">
        <v>70</v>
      </c>
      <c r="C269" s="240">
        <v>0.1</v>
      </c>
      <c r="D269" s="73" t="s">
        <v>65</v>
      </c>
      <c r="E269" s="167">
        <v>0</v>
      </c>
      <c r="F269" s="155">
        <f>PRODUCT(E269,C269)</f>
        <v>0</v>
      </c>
      <c r="G269" s="72">
        <v>18.559999999999999</v>
      </c>
      <c r="H269" s="155">
        <f>PRODUCT(G269,C269)</f>
        <v>1.8559999999999999</v>
      </c>
      <c r="I269" s="155">
        <f>SUM(F269+H269)</f>
        <v>1.8559999999999999</v>
      </c>
      <c r="J269" s="243">
        <v>4750</v>
      </c>
      <c r="K269" s="50">
        <v>13.04</v>
      </c>
    </row>
    <row r="270" spans="1:11" ht="13.8" x14ac:dyDescent="0.25">
      <c r="A270" s="61" t="s">
        <v>20</v>
      </c>
      <c r="B270" s="62" t="s">
        <v>139</v>
      </c>
      <c r="C270" s="239">
        <v>0.2</v>
      </c>
      <c r="D270" s="75" t="s">
        <v>65</v>
      </c>
      <c r="E270" s="152">
        <v>0</v>
      </c>
      <c r="F270" s="156">
        <f>PRODUCT(E270,C270)</f>
        <v>0</v>
      </c>
      <c r="G270" s="72">
        <v>14.58</v>
      </c>
      <c r="H270" s="156">
        <f>PRODUCT(G270,C270)</f>
        <v>2.9160000000000004</v>
      </c>
      <c r="I270" s="156">
        <f>SUM(F270+H270)</f>
        <v>2.9160000000000004</v>
      </c>
      <c r="J270" s="244">
        <v>6111</v>
      </c>
      <c r="K270" s="52">
        <v>9.9600000000000009</v>
      </c>
    </row>
    <row r="271" spans="1:11" ht="13.8" x14ac:dyDescent="0.25">
      <c r="A271" s="61"/>
      <c r="B271" s="59" t="s">
        <v>7</v>
      </c>
      <c r="C271" s="89"/>
      <c r="D271" s="89"/>
      <c r="E271" s="89"/>
      <c r="F271" s="169">
        <f>SUM(F268:F270)</f>
        <v>0</v>
      </c>
      <c r="G271" s="89"/>
      <c r="H271" s="169"/>
      <c r="I271" s="168">
        <f>SUM(I268:I270)</f>
        <v>14.770000000000001</v>
      </c>
      <c r="J271" s="91"/>
      <c r="K271" s="92"/>
    </row>
    <row r="272" spans="1:11" ht="13.8" x14ac:dyDescent="0.25">
      <c r="A272" s="61"/>
      <c r="B272" s="59" t="s">
        <v>80</v>
      </c>
      <c r="C272" s="89"/>
      <c r="D272" s="89"/>
      <c r="E272" s="89"/>
      <c r="F272" s="114"/>
      <c r="G272" s="89"/>
      <c r="H272" s="114"/>
      <c r="I272" s="115">
        <f>SUM(I271)</f>
        <v>14.770000000000001</v>
      </c>
      <c r="J272" s="215"/>
      <c r="K272" s="216"/>
    </row>
    <row r="273" spans="1:11" ht="13.8" x14ac:dyDescent="0.25">
      <c r="A273" s="98"/>
      <c r="B273" s="100"/>
      <c r="C273" s="100"/>
      <c r="D273" s="100"/>
      <c r="E273" s="100"/>
      <c r="F273" s="104"/>
      <c r="G273" s="116"/>
      <c r="H273" s="104"/>
      <c r="I273" s="104"/>
      <c r="J273" s="100"/>
      <c r="K273" s="99"/>
    </row>
    <row r="274" spans="1:11" ht="13.8" x14ac:dyDescent="0.25">
      <c r="A274" s="96"/>
      <c r="B274" s="97" t="s">
        <v>56</v>
      </c>
      <c r="C274" s="98"/>
      <c r="D274" s="99"/>
      <c r="E274" s="100"/>
      <c r="F274" s="100"/>
      <c r="G274" s="100"/>
      <c r="H274" s="98"/>
      <c r="I274" s="101"/>
      <c r="J274" s="99"/>
      <c r="K274" s="99"/>
    </row>
    <row r="275" spans="1:11" ht="13.8" x14ac:dyDescent="0.25">
      <c r="A275" s="96"/>
      <c r="B275" s="102" t="s">
        <v>57</v>
      </c>
      <c r="C275" s="100"/>
      <c r="D275" s="100"/>
      <c r="E275" s="100"/>
      <c r="F275" s="100"/>
      <c r="G275" s="103"/>
      <c r="H275" s="104"/>
      <c r="I275" s="100"/>
      <c r="J275" s="99"/>
      <c r="K275" s="99"/>
    </row>
    <row r="276" spans="1:11" ht="13.8" x14ac:dyDescent="0.25">
      <c r="A276" s="96"/>
      <c r="B276" s="102" t="s">
        <v>81</v>
      </c>
      <c r="C276" s="99"/>
      <c r="D276" s="99"/>
      <c r="E276" s="100"/>
      <c r="F276" s="105"/>
      <c r="G276" s="99"/>
      <c r="H276" s="106"/>
      <c r="I276" s="100"/>
      <c r="J276" s="99"/>
      <c r="K276" s="99"/>
    </row>
    <row r="277" spans="1:11" ht="13.8" x14ac:dyDescent="0.25">
      <c r="A277" s="96"/>
      <c r="B277" s="97" t="s">
        <v>82</v>
      </c>
      <c r="C277" s="99"/>
      <c r="D277" s="99"/>
      <c r="E277" s="99"/>
      <c r="F277" s="99"/>
      <c r="G277" s="99"/>
      <c r="H277" s="106"/>
      <c r="I277" s="100"/>
      <c r="J277" s="99"/>
      <c r="K277" s="99"/>
    </row>
    <row r="278" spans="1:11" ht="14.4" thickBot="1" x14ac:dyDescent="0.3">
      <c r="A278" s="96"/>
      <c r="B278" s="97"/>
      <c r="C278" s="99"/>
      <c r="D278" s="99"/>
      <c r="E278" s="99"/>
      <c r="F278" s="99"/>
      <c r="G278" s="99"/>
      <c r="H278" s="106"/>
      <c r="I278" s="100"/>
      <c r="J278" s="99"/>
      <c r="K278" s="99"/>
    </row>
    <row r="279" spans="1:11" ht="14.4" thickBot="1" x14ac:dyDescent="0.3">
      <c r="A279" s="96"/>
      <c r="B279" s="443" t="s">
        <v>73</v>
      </c>
      <c r="C279" s="444"/>
      <c r="D279" s="444"/>
      <c r="E279" s="444"/>
      <c r="F279" s="444"/>
      <c r="G279" s="459"/>
      <c r="H279" s="170"/>
      <c r="I279" s="171">
        <f>I255</f>
        <v>33.219000000000001</v>
      </c>
      <c r="J279" s="172"/>
      <c r="K279" s="172"/>
    </row>
    <row r="280" spans="1:11" ht="14.4" thickBot="1" x14ac:dyDescent="0.3">
      <c r="A280" s="96"/>
      <c r="B280" s="443" t="s">
        <v>80</v>
      </c>
      <c r="C280" s="444"/>
      <c r="D280" s="444"/>
      <c r="E280" s="444"/>
      <c r="F280" s="444"/>
      <c r="G280" s="459"/>
      <c r="H280" s="173"/>
      <c r="I280" s="174">
        <f>I272</f>
        <v>14.770000000000001</v>
      </c>
      <c r="J280" s="172"/>
      <c r="K280" s="172"/>
    </row>
    <row r="281" spans="1:11" ht="14.4" thickBot="1" x14ac:dyDescent="0.3">
      <c r="B281" s="443" t="s">
        <v>4</v>
      </c>
      <c r="C281" s="444"/>
      <c r="D281" s="444"/>
      <c r="E281" s="444"/>
      <c r="F281" s="444"/>
      <c r="G281" s="459"/>
      <c r="H281" s="175"/>
      <c r="I281" s="176">
        <f>SUM(I279:I280)</f>
        <v>47.989000000000004</v>
      </c>
      <c r="J281" s="108"/>
      <c r="K281" s="108"/>
    </row>
    <row r="282" spans="1:11" ht="14.4" thickBot="1" x14ac:dyDescent="0.3">
      <c r="B282" s="443" t="s">
        <v>100</v>
      </c>
      <c r="C282" s="444"/>
      <c r="D282" s="444"/>
      <c r="E282" s="444"/>
      <c r="F282" s="444"/>
      <c r="G282" s="459"/>
      <c r="H282" s="173"/>
      <c r="I282" s="177">
        <v>0.24229999999999999</v>
      </c>
    </row>
    <row r="283" spans="1:11" ht="14.4" thickBot="1" x14ac:dyDescent="0.3">
      <c r="B283" s="443" t="s">
        <v>101</v>
      </c>
      <c r="C283" s="444"/>
      <c r="D283" s="444"/>
      <c r="E283" s="444"/>
      <c r="F283" s="444"/>
      <c r="G283" s="444"/>
      <c r="H283" s="178"/>
      <c r="I283" s="179">
        <f>I281+(I281*I282)</f>
        <v>59.616734700000009</v>
      </c>
    </row>
    <row r="285" spans="1:11" ht="13.8" thickBot="1" x14ac:dyDescent="0.3"/>
    <row r="286" spans="1:11" ht="14.4" thickBot="1" x14ac:dyDescent="0.3">
      <c r="A286" s="443" t="s">
        <v>234</v>
      </c>
      <c r="B286" s="444"/>
      <c r="C286" s="444"/>
      <c r="D286" s="444"/>
      <c r="E286" s="444"/>
      <c r="F286" s="459"/>
      <c r="G286" s="448" t="s">
        <v>212</v>
      </c>
      <c r="H286" s="448"/>
      <c r="I286" s="450"/>
      <c r="J286" s="58" t="s">
        <v>25</v>
      </c>
      <c r="K286" s="58" t="s">
        <v>41</v>
      </c>
    </row>
    <row r="287" spans="1:11" ht="13.8" x14ac:dyDescent="0.25">
      <c r="A287" s="451" t="s">
        <v>0</v>
      </c>
      <c r="B287" s="452" t="s">
        <v>98</v>
      </c>
      <c r="C287" s="452" t="s">
        <v>1</v>
      </c>
      <c r="D287" s="454" t="s">
        <v>2</v>
      </c>
      <c r="E287" s="455" t="s">
        <v>38</v>
      </c>
      <c r="F287" s="456"/>
      <c r="G287" s="455" t="s">
        <v>39</v>
      </c>
      <c r="H287" s="456"/>
      <c r="I287" s="457" t="s">
        <v>4</v>
      </c>
      <c r="J287" s="60" t="s">
        <v>26</v>
      </c>
      <c r="K287" s="60" t="s">
        <v>26</v>
      </c>
    </row>
    <row r="288" spans="1:11" ht="14.4" thickBot="1" x14ac:dyDescent="0.3">
      <c r="A288" s="424"/>
      <c r="B288" s="472"/>
      <c r="C288" s="472"/>
      <c r="D288" s="425"/>
      <c r="E288" s="380" t="s">
        <v>3</v>
      </c>
      <c r="F288" s="381" t="s">
        <v>4</v>
      </c>
      <c r="G288" s="380" t="s">
        <v>3</v>
      </c>
      <c r="H288" s="381" t="s">
        <v>4</v>
      </c>
      <c r="I288" s="426"/>
      <c r="J288" s="69">
        <v>45931</v>
      </c>
      <c r="K288" s="63" t="s">
        <v>42</v>
      </c>
    </row>
    <row r="289" spans="1:11" ht="13.8" x14ac:dyDescent="0.25">
      <c r="A289" s="59" t="s">
        <v>79</v>
      </c>
      <c r="B289" s="82" t="s">
        <v>83</v>
      </c>
      <c r="C289" s="83"/>
      <c r="D289" s="84"/>
      <c r="E289" s="85"/>
      <c r="F289" s="86"/>
      <c r="G289" s="85"/>
      <c r="H289" s="86"/>
      <c r="I289" s="86"/>
      <c r="J289" s="69"/>
      <c r="K289" s="180"/>
    </row>
    <row r="290" spans="1:11" ht="13.8" x14ac:dyDescent="0.25">
      <c r="A290" s="61" t="s">
        <v>5</v>
      </c>
      <c r="B290" s="62" t="s">
        <v>84</v>
      </c>
      <c r="C290" s="181">
        <v>1.7000000000000001E-2</v>
      </c>
      <c r="D290" s="73" t="s">
        <v>88</v>
      </c>
      <c r="E290" s="167">
        <v>0</v>
      </c>
      <c r="F290" s="155">
        <f>PRODUCT(E290,C290)</f>
        <v>0</v>
      </c>
      <c r="G290" s="182" t="s">
        <v>89</v>
      </c>
      <c r="H290" s="182" t="s">
        <v>89</v>
      </c>
      <c r="I290" s="183">
        <f>C290</f>
        <v>1.7000000000000001E-2</v>
      </c>
      <c r="J290" s="51"/>
      <c r="K290" s="52"/>
    </row>
    <row r="291" spans="1:11" ht="13.8" x14ac:dyDescent="0.25">
      <c r="A291" s="61" t="s">
        <v>13</v>
      </c>
      <c r="B291" s="62" t="s">
        <v>85</v>
      </c>
      <c r="C291" s="88">
        <v>608</v>
      </c>
      <c r="D291" s="73" t="s">
        <v>10</v>
      </c>
      <c r="E291" s="167">
        <v>0</v>
      </c>
      <c r="F291" s="155">
        <f>PRODUCT(E291,C291)</f>
        <v>0</v>
      </c>
      <c r="G291" s="182" t="s">
        <v>89</v>
      </c>
      <c r="H291" s="182" t="s">
        <v>89</v>
      </c>
      <c r="I291" s="184">
        <f>C291</f>
        <v>608</v>
      </c>
      <c r="J291" s="51"/>
      <c r="K291" s="54"/>
    </row>
    <row r="292" spans="1:11" ht="13.8" x14ac:dyDescent="0.25">
      <c r="A292" s="61" t="s">
        <v>20</v>
      </c>
      <c r="B292" s="62" t="s">
        <v>86</v>
      </c>
      <c r="C292" s="89">
        <v>350</v>
      </c>
      <c r="D292" s="75" t="s">
        <v>87</v>
      </c>
      <c r="E292" s="152">
        <v>0</v>
      </c>
      <c r="F292" s="156">
        <f>PRODUCT(E292,C292)</f>
        <v>0</v>
      </c>
      <c r="G292" s="118" t="s">
        <v>89</v>
      </c>
      <c r="H292" s="118" t="s">
        <v>89</v>
      </c>
      <c r="I292" s="185">
        <f>C292</f>
        <v>350</v>
      </c>
      <c r="J292" s="117"/>
      <c r="K292" s="117"/>
    </row>
    <row r="293" spans="1:11" ht="13.8" x14ac:dyDescent="0.25">
      <c r="A293" s="61"/>
      <c r="B293" s="59" t="s">
        <v>7</v>
      </c>
      <c r="C293" s="89"/>
      <c r="D293" s="89"/>
      <c r="E293" s="152"/>
      <c r="G293" s="152"/>
      <c r="H293" s="169" t="s">
        <v>123</v>
      </c>
      <c r="I293" s="186">
        <f>SUM(I290*I291*I292)</f>
        <v>3617.6</v>
      </c>
      <c r="J293" s="51">
        <v>72842</v>
      </c>
      <c r="K293" s="54">
        <v>0.68</v>
      </c>
    </row>
    <row r="294" spans="1:11" ht="14.4" thickBot="1" x14ac:dyDescent="0.3">
      <c r="A294" s="61"/>
      <c r="B294" s="59" t="s">
        <v>125</v>
      </c>
      <c r="C294" s="89"/>
      <c r="D294" s="89"/>
      <c r="E294" s="89"/>
      <c r="F294" s="169"/>
      <c r="G294" s="89"/>
      <c r="H294" s="169">
        <f>K293</f>
        <v>0.68</v>
      </c>
      <c r="I294" s="187">
        <f>H294*I293</f>
        <v>2459.9680000000003</v>
      </c>
      <c r="J294" s="77"/>
      <c r="K294" s="77"/>
    </row>
    <row r="295" spans="1:11" ht="14.4" thickBot="1" x14ac:dyDescent="0.3">
      <c r="A295" s="96"/>
      <c r="B295" s="443" t="s">
        <v>100</v>
      </c>
      <c r="C295" s="444"/>
      <c r="D295" s="444"/>
      <c r="E295" s="444"/>
      <c r="F295" s="444"/>
      <c r="G295" s="459"/>
      <c r="H295" s="170"/>
      <c r="I295" s="188">
        <v>0.24229999999999999</v>
      </c>
      <c r="J295" s="172"/>
      <c r="K295" s="172"/>
    </row>
    <row r="296" spans="1:11" ht="14.4" thickBot="1" x14ac:dyDescent="0.3">
      <c r="A296" s="98"/>
      <c r="B296" s="443" t="s">
        <v>101</v>
      </c>
      <c r="C296" s="444"/>
      <c r="D296" s="444"/>
      <c r="E296" s="444"/>
      <c r="F296" s="444"/>
      <c r="G296" s="444"/>
      <c r="H296" s="178"/>
      <c r="I296" s="179">
        <f>I293*0.84</f>
        <v>3038.7839999999997</v>
      </c>
      <c r="J296" s="100"/>
      <c r="K296" s="99"/>
    </row>
    <row r="297" spans="1:11" ht="13.8" x14ac:dyDescent="0.25">
      <c r="A297" s="96"/>
      <c r="B297" s="97" t="s">
        <v>56</v>
      </c>
      <c r="C297" s="98"/>
      <c r="D297" s="99"/>
      <c r="E297" s="100"/>
      <c r="F297" s="100"/>
      <c r="G297" s="100"/>
      <c r="H297" s="98"/>
      <c r="I297" s="101"/>
      <c r="J297" s="99"/>
      <c r="K297" s="99"/>
    </row>
    <row r="298" spans="1:11" ht="13.8" x14ac:dyDescent="0.25">
      <c r="A298" s="96"/>
      <c r="B298" s="102" t="s">
        <v>57</v>
      </c>
      <c r="C298" s="100"/>
      <c r="D298" s="100"/>
      <c r="E298" s="100"/>
      <c r="F298" s="100"/>
      <c r="G298" s="103"/>
      <c r="H298" s="104"/>
      <c r="I298" s="100"/>
      <c r="J298" s="99"/>
      <c r="K298" s="99"/>
    </row>
    <row r="299" spans="1:11" ht="13.8" x14ac:dyDescent="0.25">
      <c r="A299" s="96"/>
      <c r="B299" s="102" t="s">
        <v>162</v>
      </c>
      <c r="C299" s="99"/>
      <c r="D299" s="99"/>
      <c r="E299" s="100"/>
      <c r="F299" s="105"/>
      <c r="G299" s="99"/>
      <c r="H299" s="106"/>
      <c r="I299" s="100"/>
      <c r="J299" s="99"/>
      <c r="K299" s="99"/>
    </row>
    <row r="300" spans="1:11" ht="13.8" thickBot="1" x14ac:dyDescent="0.3"/>
    <row r="301" spans="1:11" ht="14.25" customHeight="1" thickBot="1" x14ac:dyDescent="0.3">
      <c r="A301" s="447" t="s">
        <v>235</v>
      </c>
      <c r="B301" s="448"/>
      <c r="C301" s="448"/>
      <c r="D301" s="448"/>
      <c r="E301" s="448"/>
      <c r="F301" s="449"/>
      <c r="G301" s="448" t="s">
        <v>153</v>
      </c>
      <c r="H301" s="448"/>
      <c r="I301" s="448"/>
      <c r="J301" s="473">
        <v>45931</v>
      </c>
      <c r="K301" s="469" t="s">
        <v>154</v>
      </c>
    </row>
    <row r="302" spans="1:11" ht="13.8" x14ac:dyDescent="0.25">
      <c r="A302" s="451" t="s">
        <v>0</v>
      </c>
      <c r="B302" s="452" t="s">
        <v>98</v>
      </c>
      <c r="C302" s="452" t="s">
        <v>1</v>
      </c>
      <c r="D302" s="454" t="s">
        <v>2</v>
      </c>
      <c r="E302" s="455" t="s">
        <v>38</v>
      </c>
      <c r="F302" s="456"/>
      <c r="G302" s="455" t="s">
        <v>39</v>
      </c>
      <c r="H302" s="456"/>
      <c r="I302" s="454" t="s">
        <v>4</v>
      </c>
      <c r="J302" s="474"/>
      <c r="K302" s="470"/>
    </row>
    <row r="303" spans="1:11" ht="14.4" thickBot="1" x14ac:dyDescent="0.3">
      <c r="A303" s="424"/>
      <c r="B303" s="472"/>
      <c r="C303" s="472"/>
      <c r="D303" s="425"/>
      <c r="E303" s="257" t="s">
        <v>3</v>
      </c>
      <c r="F303" s="306" t="s">
        <v>4</v>
      </c>
      <c r="G303" s="257" t="s">
        <v>3</v>
      </c>
      <c r="H303" s="306" t="s">
        <v>4</v>
      </c>
      <c r="I303" s="425"/>
      <c r="J303" s="474"/>
      <c r="K303" s="470"/>
    </row>
    <row r="304" spans="1:11" ht="13.8" x14ac:dyDescent="0.25">
      <c r="A304" s="253" t="s">
        <v>33</v>
      </c>
      <c r="B304" s="307" t="s">
        <v>38</v>
      </c>
      <c r="C304" s="62"/>
      <c r="D304" s="61"/>
      <c r="E304" s="308"/>
      <c r="F304" s="309"/>
      <c r="G304" s="308"/>
      <c r="H304" s="310"/>
      <c r="I304" s="311"/>
      <c r="J304" s="474"/>
      <c r="K304" s="471"/>
    </row>
    <row r="305" spans="1:11" ht="13.8" x14ac:dyDescent="0.25">
      <c r="A305" s="254" t="s">
        <v>5</v>
      </c>
      <c r="B305" s="71" t="s">
        <v>230</v>
      </c>
      <c r="C305" s="250">
        <v>19</v>
      </c>
      <c r="D305" s="73" t="s">
        <v>8</v>
      </c>
      <c r="E305" s="118">
        <v>629.36</v>
      </c>
      <c r="F305" s="118">
        <f t="shared" ref="F305:F311" si="11">PRODUCT(C305:E305)</f>
        <v>11957.84</v>
      </c>
      <c r="G305" s="118">
        <v>0</v>
      </c>
      <c r="H305" s="118">
        <v>0</v>
      </c>
      <c r="I305" s="312">
        <f t="shared" ref="I305:I310" si="12">SUM(F305+H305)</f>
        <v>11957.84</v>
      </c>
      <c r="J305" s="313">
        <v>38408</v>
      </c>
      <c r="K305" s="256">
        <v>391.25</v>
      </c>
    </row>
    <row r="306" spans="1:11" ht="13.8" x14ac:dyDescent="0.25">
      <c r="A306" s="254" t="s">
        <v>13</v>
      </c>
      <c r="B306" s="71" t="s">
        <v>156</v>
      </c>
      <c r="C306" s="251">
        <f>30.86*1.1</f>
        <v>33.946000000000005</v>
      </c>
      <c r="D306" s="75" t="s">
        <v>128</v>
      </c>
      <c r="E306" s="118">
        <v>8.26</v>
      </c>
      <c r="F306" s="118">
        <f t="shared" si="11"/>
        <v>280.39396000000005</v>
      </c>
      <c r="G306" s="118">
        <v>0</v>
      </c>
      <c r="H306" s="118">
        <v>0</v>
      </c>
      <c r="I306" s="312">
        <f t="shared" si="12"/>
        <v>280.39396000000005</v>
      </c>
      <c r="J306" s="313">
        <v>43053</v>
      </c>
      <c r="K306" s="256">
        <v>3.83</v>
      </c>
    </row>
    <row r="307" spans="1:11" ht="13.8" x14ac:dyDescent="0.25">
      <c r="A307" s="254" t="s">
        <v>20</v>
      </c>
      <c r="B307" s="71" t="s">
        <v>157</v>
      </c>
      <c r="C307" s="314">
        <v>240</v>
      </c>
      <c r="D307" s="315" t="s">
        <v>16</v>
      </c>
      <c r="E307" s="118">
        <v>27.36</v>
      </c>
      <c r="F307" s="118">
        <f t="shared" si="11"/>
        <v>6566.4</v>
      </c>
      <c r="G307" s="118">
        <v>0</v>
      </c>
      <c r="H307" s="118">
        <v>0</v>
      </c>
      <c r="I307" s="312">
        <f t="shared" si="12"/>
        <v>6566.4</v>
      </c>
      <c r="J307" s="313">
        <v>7156</v>
      </c>
      <c r="K307" s="256">
        <v>13.64</v>
      </c>
    </row>
    <row r="308" spans="1:11" ht="13.8" x14ac:dyDescent="0.25">
      <c r="A308" s="254" t="s">
        <v>46</v>
      </c>
      <c r="B308" s="71" t="s">
        <v>91</v>
      </c>
      <c r="C308" s="251">
        <v>39.35</v>
      </c>
      <c r="D308" s="75" t="s">
        <v>16</v>
      </c>
      <c r="E308" s="118">
        <v>101.55</v>
      </c>
      <c r="F308" s="118">
        <f t="shared" si="11"/>
        <v>3995.9924999999998</v>
      </c>
      <c r="G308" s="118">
        <v>0</v>
      </c>
      <c r="H308" s="118">
        <v>0</v>
      </c>
      <c r="I308" s="312">
        <f t="shared" si="12"/>
        <v>3995.9924999999998</v>
      </c>
      <c r="J308" s="313">
        <v>1345</v>
      </c>
      <c r="K308" s="256">
        <v>57.12</v>
      </c>
    </row>
    <row r="309" spans="1:11" ht="13.8" x14ac:dyDescent="0.25">
      <c r="A309" s="254" t="s">
        <v>47</v>
      </c>
      <c r="B309" s="71" t="s">
        <v>51</v>
      </c>
      <c r="C309" s="251">
        <v>40</v>
      </c>
      <c r="D309" s="75" t="s">
        <v>52</v>
      </c>
      <c r="E309" s="118">
        <v>7.1</v>
      </c>
      <c r="F309" s="118">
        <f t="shared" si="11"/>
        <v>284</v>
      </c>
      <c r="G309" s="118">
        <v>0</v>
      </c>
      <c r="H309" s="118">
        <v>0</v>
      </c>
      <c r="I309" s="312">
        <f t="shared" si="12"/>
        <v>284</v>
      </c>
      <c r="J309" s="313">
        <v>2692</v>
      </c>
      <c r="K309" s="256">
        <v>4.8600000000000003</v>
      </c>
    </row>
    <row r="310" spans="1:11" ht="13.8" x14ac:dyDescent="0.25">
      <c r="A310" s="254" t="s">
        <v>48</v>
      </c>
      <c r="B310" s="71" t="s">
        <v>149</v>
      </c>
      <c r="C310" s="251">
        <v>38.22</v>
      </c>
      <c r="D310" s="75" t="s">
        <v>128</v>
      </c>
      <c r="E310" s="118">
        <v>21.02</v>
      </c>
      <c r="F310" s="118">
        <f t="shared" si="11"/>
        <v>803.38439999999991</v>
      </c>
      <c r="G310" s="118">
        <v>0</v>
      </c>
      <c r="H310" s="118">
        <v>0</v>
      </c>
      <c r="I310" s="312">
        <f t="shared" si="12"/>
        <v>803.38439999999991</v>
      </c>
      <c r="J310" s="313">
        <v>34562</v>
      </c>
      <c r="K310" s="256">
        <v>7.99</v>
      </c>
    </row>
    <row r="311" spans="1:11" ht="13.8" x14ac:dyDescent="0.25">
      <c r="A311" s="254" t="s">
        <v>49</v>
      </c>
      <c r="B311" s="316" t="s">
        <v>158</v>
      </c>
      <c r="C311" s="317">
        <v>6</v>
      </c>
      <c r="D311" s="79" t="s">
        <v>10</v>
      </c>
      <c r="E311" s="191">
        <v>13.85</v>
      </c>
      <c r="F311" s="191">
        <f t="shared" si="11"/>
        <v>83.1</v>
      </c>
      <c r="G311" s="118">
        <v>0</v>
      </c>
      <c r="H311" s="118">
        <v>0</v>
      </c>
      <c r="I311" s="312">
        <f>SUM(F311+H311)</f>
        <v>83.1</v>
      </c>
      <c r="J311" s="313">
        <v>9836</v>
      </c>
      <c r="K311" s="256">
        <v>9</v>
      </c>
    </row>
    <row r="312" spans="1:11" ht="14.4" thickBot="1" x14ac:dyDescent="0.3">
      <c r="A312" s="257"/>
      <c r="B312" s="258" t="s">
        <v>7</v>
      </c>
      <c r="C312" s="318"/>
      <c r="D312" s="318"/>
      <c r="E312" s="319"/>
      <c r="F312" s="259">
        <f>SUM(F305:F311)</f>
        <v>23971.110859999997</v>
      </c>
      <c r="G312" s="319"/>
      <c r="H312" s="259"/>
      <c r="I312" s="320">
        <f>SUM(I305:I311)</f>
        <v>23971.110859999997</v>
      </c>
      <c r="J312" s="313"/>
      <c r="K312" s="256"/>
    </row>
    <row r="313" spans="1:11" ht="13.8" x14ac:dyDescent="0.25">
      <c r="A313" s="261" t="s">
        <v>34</v>
      </c>
      <c r="B313" s="321" t="s">
        <v>39</v>
      </c>
      <c r="C313" s="322"/>
      <c r="D313" s="322"/>
      <c r="E313" s="323"/>
      <c r="F313" s="324"/>
      <c r="G313" s="323"/>
      <c r="H313" s="324"/>
      <c r="I313" s="325"/>
      <c r="J313" s="326"/>
      <c r="K313" s="295"/>
    </row>
    <row r="314" spans="1:11" ht="13.8" x14ac:dyDescent="0.25">
      <c r="A314" s="254" t="s">
        <v>6</v>
      </c>
      <c r="B314" s="62" t="s">
        <v>136</v>
      </c>
      <c r="C314" s="327">
        <v>45</v>
      </c>
      <c r="D314" s="73" t="s">
        <v>90</v>
      </c>
      <c r="E314" s="118">
        <v>0</v>
      </c>
      <c r="F314" s="118">
        <f>PRODUCT(E314,C314)</f>
        <v>0</v>
      </c>
      <c r="G314" s="118">
        <v>99.98</v>
      </c>
      <c r="H314" s="118">
        <f>C314*G314</f>
        <v>4499.1000000000004</v>
      </c>
      <c r="I314" s="312">
        <f>SUM(F314+H314)</f>
        <v>4499.1000000000004</v>
      </c>
      <c r="J314" s="382">
        <v>4069</v>
      </c>
      <c r="K314" s="385">
        <v>44.57</v>
      </c>
    </row>
    <row r="315" spans="1:11" ht="13.8" x14ac:dyDescent="0.25">
      <c r="A315" s="254" t="s">
        <v>11</v>
      </c>
      <c r="B315" s="62" t="s">
        <v>137</v>
      </c>
      <c r="C315" s="239">
        <v>35</v>
      </c>
      <c r="D315" s="73" t="s">
        <v>90</v>
      </c>
      <c r="E315" s="118">
        <v>0</v>
      </c>
      <c r="F315" s="118">
        <f>PRODUCT(E315,C315)</f>
        <v>0</v>
      </c>
      <c r="G315" s="118">
        <v>18.559999999999999</v>
      </c>
      <c r="H315" s="118">
        <f>C315*G315</f>
        <v>649.59999999999991</v>
      </c>
      <c r="I315" s="312">
        <f>SUM(F315+H315)</f>
        <v>649.59999999999991</v>
      </c>
      <c r="J315" s="382">
        <v>1213</v>
      </c>
      <c r="K315" s="385">
        <v>13.04</v>
      </c>
    </row>
    <row r="316" spans="1:11" ht="13.8" x14ac:dyDescent="0.25">
      <c r="A316" s="254" t="s">
        <v>53</v>
      </c>
      <c r="B316" s="62" t="s">
        <v>138</v>
      </c>
      <c r="C316" s="239">
        <v>35</v>
      </c>
      <c r="D316" s="73" t="s">
        <v>90</v>
      </c>
      <c r="E316" s="118">
        <v>0</v>
      </c>
      <c r="F316" s="118">
        <f>PRODUCT(E316,C316)</f>
        <v>0</v>
      </c>
      <c r="G316" s="118">
        <v>15.68</v>
      </c>
      <c r="H316" s="118">
        <f>C316*G316</f>
        <v>548.79999999999995</v>
      </c>
      <c r="I316" s="312">
        <f>SUM(F316+H316)</f>
        <v>548.79999999999995</v>
      </c>
      <c r="J316" s="382">
        <v>4750</v>
      </c>
      <c r="K316" s="385">
        <v>13.04</v>
      </c>
    </row>
    <row r="317" spans="1:11" ht="13.8" x14ac:dyDescent="0.25">
      <c r="A317" s="254" t="s">
        <v>54</v>
      </c>
      <c r="B317" s="62" t="s">
        <v>143</v>
      </c>
      <c r="C317" s="239">
        <v>35</v>
      </c>
      <c r="D317" s="73" t="s">
        <v>90</v>
      </c>
      <c r="E317" s="118">
        <v>0</v>
      </c>
      <c r="F317" s="118">
        <f>PRODUCT(E317,C317)</f>
        <v>0</v>
      </c>
      <c r="G317" s="118">
        <v>18.559999999999999</v>
      </c>
      <c r="H317" s="118">
        <f>C317*G317</f>
        <v>649.59999999999991</v>
      </c>
      <c r="I317" s="312">
        <f>SUM(F317+H317)</f>
        <v>649.59999999999991</v>
      </c>
      <c r="J317" s="382">
        <v>378</v>
      </c>
      <c r="K317" s="385">
        <v>13.04</v>
      </c>
    </row>
    <row r="318" spans="1:11" ht="13.8" x14ac:dyDescent="0.25">
      <c r="A318" s="254" t="s">
        <v>55</v>
      </c>
      <c r="B318" s="62" t="s">
        <v>139</v>
      </c>
      <c r="C318" s="239">
        <v>90</v>
      </c>
      <c r="D318" s="73" t="s">
        <v>90</v>
      </c>
      <c r="E318" s="118">
        <v>0</v>
      </c>
      <c r="F318" s="118">
        <f>PRODUCT(E318,C318)</f>
        <v>0</v>
      </c>
      <c r="G318" s="118">
        <v>14.58</v>
      </c>
      <c r="H318" s="118">
        <f>C318*G318</f>
        <v>1312.2</v>
      </c>
      <c r="I318" s="312">
        <f>SUM(F318+H318)</f>
        <v>1312.2</v>
      </c>
      <c r="J318" s="382">
        <v>6111</v>
      </c>
      <c r="K318" s="385">
        <v>9.9600000000000009</v>
      </c>
    </row>
    <row r="319" spans="1:11" ht="14.4" thickBot="1" x14ac:dyDescent="0.3">
      <c r="A319" s="257"/>
      <c r="B319" s="258" t="s">
        <v>7</v>
      </c>
      <c r="C319" s="329"/>
      <c r="D319" s="318"/>
      <c r="E319" s="319"/>
      <c r="F319" s="259">
        <f>SUM(F314:F315)</f>
        <v>0</v>
      </c>
      <c r="G319" s="319"/>
      <c r="H319" s="259">
        <f>SUM(H312:H315)</f>
        <v>5148.7000000000007</v>
      </c>
      <c r="I319" s="320">
        <f>SUM(I314:I315)</f>
        <v>5148.7000000000007</v>
      </c>
      <c r="J319" s="328"/>
      <c r="K319" s="265"/>
    </row>
    <row r="320" spans="1:11" ht="13.8" x14ac:dyDescent="0.25">
      <c r="A320" s="261" t="s">
        <v>35</v>
      </c>
      <c r="B320" s="321" t="s">
        <v>66</v>
      </c>
      <c r="C320" s="322"/>
      <c r="D320" s="322"/>
      <c r="E320" s="323"/>
      <c r="F320" s="324"/>
      <c r="G320" s="323"/>
      <c r="H320" s="324"/>
      <c r="I320" s="325"/>
      <c r="J320" s="326"/>
      <c r="K320" s="295"/>
    </row>
    <row r="321" spans="1:11" ht="13.8" x14ac:dyDescent="0.25">
      <c r="A321" s="254" t="s">
        <v>12</v>
      </c>
      <c r="B321" s="62" t="s">
        <v>131</v>
      </c>
      <c r="C321" s="239">
        <v>60</v>
      </c>
      <c r="D321" s="75" t="s">
        <v>90</v>
      </c>
      <c r="E321" s="152">
        <f>K321</f>
        <v>3.82</v>
      </c>
      <c r="F321" s="152">
        <f>C321*E321</f>
        <v>229.2</v>
      </c>
      <c r="G321" s="152">
        <v>0</v>
      </c>
      <c r="H321" s="152">
        <f>PRODUCT(G321,C321)</f>
        <v>0</v>
      </c>
      <c r="I321" s="330">
        <f>SUM(F321+H321)</f>
        <v>229.2</v>
      </c>
      <c r="J321" s="313">
        <v>646</v>
      </c>
      <c r="K321" s="267">
        <v>3.82</v>
      </c>
    </row>
    <row r="322" spans="1:11" ht="13.8" x14ac:dyDescent="0.25">
      <c r="A322" s="254" t="s">
        <v>19</v>
      </c>
      <c r="B322" s="62" t="s">
        <v>68</v>
      </c>
      <c r="C322" s="239">
        <v>40</v>
      </c>
      <c r="D322" s="75" t="s">
        <v>90</v>
      </c>
      <c r="E322" s="152">
        <f>K322</f>
        <v>1.69</v>
      </c>
      <c r="F322" s="152">
        <f>C322*E322</f>
        <v>67.599999999999994</v>
      </c>
      <c r="G322" s="152">
        <v>0</v>
      </c>
      <c r="H322" s="152">
        <f>PRODUCT(G322,C322)</f>
        <v>0</v>
      </c>
      <c r="I322" s="330">
        <f>SUM(F322+H322)</f>
        <v>67.599999999999994</v>
      </c>
      <c r="J322" s="313">
        <v>10790</v>
      </c>
      <c r="K322" s="267">
        <v>1.69</v>
      </c>
    </row>
    <row r="323" spans="1:11" ht="13.8" x14ac:dyDescent="0.25">
      <c r="A323" s="254" t="s">
        <v>119</v>
      </c>
      <c r="B323" s="62" t="s">
        <v>67</v>
      </c>
      <c r="C323" s="331">
        <v>20</v>
      </c>
      <c r="D323" s="79" t="s">
        <v>90</v>
      </c>
      <c r="E323" s="152">
        <f>K323</f>
        <v>2.96</v>
      </c>
      <c r="F323" s="152">
        <f>C323*E323</f>
        <v>59.2</v>
      </c>
      <c r="G323" s="152">
        <v>0</v>
      </c>
      <c r="H323" s="152">
        <f>PRODUCT(G323,C323)</f>
        <v>0</v>
      </c>
      <c r="I323" s="330">
        <f>SUM(F323+H323)</f>
        <v>59.2</v>
      </c>
      <c r="J323" s="313">
        <v>10486</v>
      </c>
      <c r="K323" s="264">
        <v>2.96</v>
      </c>
    </row>
    <row r="324" spans="1:11" ht="13.8" x14ac:dyDescent="0.25">
      <c r="A324" s="254" t="s">
        <v>118</v>
      </c>
      <c r="B324" s="332" t="s">
        <v>132</v>
      </c>
      <c r="C324" s="239">
        <v>90</v>
      </c>
      <c r="D324" s="75" t="s">
        <v>90</v>
      </c>
      <c r="E324" s="152">
        <f>K324</f>
        <v>10.41</v>
      </c>
      <c r="F324" s="152">
        <f>C324*E324</f>
        <v>936.9</v>
      </c>
      <c r="G324" s="152">
        <v>0</v>
      </c>
      <c r="H324" s="152">
        <f>PRODUCT(G324,C324)</f>
        <v>0</v>
      </c>
      <c r="I324" s="330">
        <f>SUM(F324+H324)</f>
        <v>936.9</v>
      </c>
      <c r="J324" s="313">
        <v>3345</v>
      </c>
      <c r="K324" s="264">
        <v>10.41</v>
      </c>
    </row>
    <row r="325" spans="1:11" ht="13.8" x14ac:dyDescent="0.25">
      <c r="A325" s="254" t="s">
        <v>134</v>
      </c>
      <c r="B325" s="333" t="s">
        <v>159</v>
      </c>
      <c r="C325" s="239">
        <v>36</v>
      </c>
      <c r="D325" s="73" t="s">
        <v>90</v>
      </c>
      <c r="E325" s="152">
        <f>K325</f>
        <v>117</v>
      </c>
      <c r="F325" s="152">
        <f>C325*E325</f>
        <v>4212</v>
      </c>
      <c r="G325" s="152">
        <v>0</v>
      </c>
      <c r="H325" s="152">
        <f>PRODUCT(G325,C325)</f>
        <v>0</v>
      </c>
      <c r="I325" s="330">
        <f>SUM(F325+H325)</f>
        <v>4212</v>
      </c>
      <c r="J325" s="313">
        <v>3356</v>
      </c>
      <c r="K325" s="264">
        <v>117</v>
      </c>
    </row>
    <row r="326" spans="1:11" ht="14.4" thickBot="1" x14ac:dyDescent="0.3">
      <c r="A326" s="257"/>
      <c r="B326" s="258" t="s">
        <v>7</v>
      </c>
      <c r="C326" s="269"/>
      <c r="D326" s="269"/>
      <c r="E326" s="270"/>
      <c r="F326" s="259">
        <f>SUM(F321:F325)</f>
        <v>5504.9</v>
      </c>
      <c r="G326" s="269"/>
      <c r="H326" s="271"/>
      <c r="I326" s="259">
        <f>SUM(I321:I325)</f>
        <v>5504.9</v>
      </c>
      <c r="J326" s="334"/>
      <c r="K326" s="265"/>
    </row>
    <row r="327" spans="1:11" ht="14.4" thickBot="1" x14ac:dyDescent="0.3">
      <c r="A327" s="460" t="s">
        <v>99</v>
      </c>
      <c r="B327" s="461"/>
      <c r="C327" s="461"/>
      <c r="D327" s="461"/>
      <c r="E327" s="461"/>
      <c r="F327" s="461"/>
      <c r="G327" s="461"/>
      <c r="H327" s="462"/>
      <c r="I327" s="335">
        <f>I312+I319+I326</f>
        <v>34624.710859999999</v>
      </c>
      <c r="J327" s="273"/>
      <c r="K327" s="265"/>
    </row>
    <row r="328" spans="1:11" ht="14.4" thickBot="1" x14ac:dyDescent="0.3">
      <c r="A328" s="463" t="s">
        <v>100</v>
      </c>
      <c r="B328" s="464"/>
      <c r="C328" s="464"/>
      <c r="D328" s="464"/>
      <c r="E328" s="464"/>
      <c r="F328" s="464"/>
      <c r="G328" s="464"/>
      <c r="H328" s="465"/>
      <c r="I328" s="336">
        <v>0.24229999999999999</v>
      </c>
      <c r="J328" s="273"/>
      <c r="K328" s="265"/>
    </row>
    <row r="329" spans="1:11" ht="14.4" thickBot="1" x14ac:dyDescent="0.3">
      <c r="A329" s="466" t="s">
        <v>101</v>
      </c>
      <c r="B329" s="467"/>
      <c r="C329" s="467"/>
      <c r="D329" s="467"/>
      <c r="E329" s="467"/>
      <c r="F329" s="467"/>
      <c r="G329" s="467"/>
      <c r="H329" s="468"/>
      <c r="I329" s="337">
        <f>I327+(I327*I328)</f>
        <v>43014.278301377999</v>
      </c>
      <c r="J329" s="276"/>
      <c r="K329" s="277"/>
    </row>
    <row r="330" spans="1:11" ht="14.4" thickBot="1" x14ac:dyDescent="0.3">
      <c r="A330" s="466" t="s">
        <v>214</v>
      </c>
      <c r="B330" s="467"/>
      <c r="C330" s="467"/>
      <c r="D330" s="467"/>
      <c r="E330" s="467"/>
      <c r="F330" s="467"/>
      <c r="G330" s="467"/>
      <c r="H330" s="468"/>
      <c r="I330" s="275">
        <f>I327/C305</f>
        <v>1822.3532031578948</v>
      </c>
      <c r="J330" s="276"/>
      <c r="K330" s="277"/>
    </row>
    <row r="332" spans="1:11" ht="13.8" thickBot="1" x14ac:dyDescent="0.3">
      <c r="I332" s="218"/>
    </row>
    <row r="333" spans="1:11" ht="14.4" thickBot="1" x14ac:dyDescent="0.3">
      <c r="A333" s="447" t="s">
        <v>236</v>
      </c>
      <c r="B333" s="448"/>
      <c r="C333" s="448"/>
      <c r="D333" s="448"/>
      <c r="E333" s="448"/>
      <c r="F333" s="449"/>
      <c r="G333" s="448" t="s">
        <v>199</v>
      </c>
      <c r="H333" s="448"/>
      <c r="I333" s="450"/>
      <c r="J333" s="58" t="s">
        <v>25</v>
      </c>
      <c r="K333" s="58" t="s">
        <v>41</v>
      </c>
    </row>
    <row r="334" spans="1:11" ht="13.8" x14ac:dyDescent="0.25">
      <c r="A334" s="451" t="s">
        <v>0</v>
      </c>
      <c r="B334" s="452" t="s">
        <v>98</v>
      </c>
      <c r="C334" s="452" t="s">
        <v>1</v>
      </c>
      <c r="D334" s="454" t="s">
        <v>2</v>
      </c>
      <c r="E334" s="455" t="s">
        <v>38</v>
      </c>
      <c r="F334" s="456"/>
      <c r="G334" s="455" t="s">
        <v>39</v>
      </c>
      <c r="H334" s="456"/>
      <c r="I334" s="457" t="s">
        <v>4</v>
      </c>
      <c r="J334" s="60" t="s">
        <v>26</v>
      </c>
      <c r="K334" s="60" t="s">
        <v>26</v>
      </c>
    </row>
    <row r="335" spans="1:11" ht="14.4" thickBot="1" x14ac:dyDescent="0.3">
      <c r="A335" s="424"/>
      <c r="B335" s="472"/>
      <c r="C335" s="472"/>
      <c r="D335" s="425"/>
      <c r="E335" s="380" t="s">
        <v>3</v>
      </c>
      <c r="F335" s="381" t="s">
        <v>4</v>
      </c>
      <c r="G335" s="380" t="s">
        <v>3</v>
      </c>
      <c r="H335" s="381" t="s">
        <v>4</v>
      </c>
      <c r="I335" s="426"/>
      <c r="J335" s="69">
        <v>45931</v>
      </c>
      <c r="K335" s="63" t="s">
        <v>42</v>
      </c>
    </row>
    <row r="336" spans="1:11" ht="13.8" x14ac:dyDescent="0.25">
      <c r="A336" s="379" t="s">
        <v>33</v>
      </c>
      <c r="B336" s="387" t="s">
        <v>38</v>
      </c>
      <c r="C336" s="388"/>
      <c r="D336" s="389"/>
      <c r="E336" s="390"/>
      <c r="F336" s="391"/>
      <c r="G336" s="390"/>
      <c r="H336" s="392"/>
      <c r="I336" s="392"/>
      <c r="J336" s="160"/>
      <c r="K336" s="161"/>
    </row>
    <row r="337" spans="1:11" ht="13.8" x14ac:dyDescent="0.25">
      <c r="A337" s="61" t="s">
        <v>5</v>
      </c>
      <c r="B337" s="298" t="s">
        <v>200</v>
      </c>
      <c r="C337" s="239">
        <v>8</v>
      </c>
      <c r="D337" s="301" t="s">
        <v>8</v>
      </c>
      <c r="E337" s="118">
        <v>629.36</v>
      </c>
      <c r="F337" s="118">
        <f>PRODUCT(C337:E337)</f>
        <v>5034.88</v>
      </c>
      <c r="G337" s="118">
        <v>0</v>
      </c>
      <c r="H337" s="118">
        <v>0</v>
      </c>
      <c r="I337" s="255">
        <f>SUM(F337+H337)</f>
        <v>5034.88</v>
      </c>
      <c r="J337" s="382">
        <v>38408</v>
      </c>
      <c r="K337" s="256">
        <v>372.28</v>
      </c>
    </row>
    <row r="338" spans="1:11" ht="13.8" x14ac:dyDescent="0.25">
      <c r="A338" s="61" t="s">
        <v>13</v>
      </c>
      <c r="B338" s="298" t="s">
        <v>213</v>
      </c>
      <c r="C338" s="299">
        <v>208.56</v>
      </c>
      <c r="D338" s="301" t="s">
        <v>128</v>
      </c>
      <c r="E338" s="118">
        <v>9.25</v>
      </c>
      <c r="F338" s="182">
        <f t="shared" ref="F338:F343" si="13">C338*E338</f>
        <v>1929.18</v>
      </c>
      <c r="G338" s="118">
        <v>0</v>
      </c>
      <c r="H338" s="118">
        <f t="shared" ref="H338:H343" si="14">PRODUCT(G338,C338)</f>
        <v>0</v>
      </c>
      <c r="I338" s="190">
        <f t="shared" ref="I338:I343" si="15">F338+H338</f>
        <v>1929.18</v>
      </c>
      <c r="J338" s="313">
        <v>43055</v>
      </c>
      <c r="K338" s="256">
        <v>3.76</v>
      </c>
    </row>
    <row r="339" spans="1:11" ht="13.8" x14ac:dyDescent="0.25">
      <c r="A339" s="61" t="s">
        <v>20</v>
      </c>
      <c r="B339" s="298" t="s">
        <v>196</v>
      </c>
      <c r="C339" s="299">
        <v>89.451999999999998</v>
      </c>
      <c r="D339" s="301" t="s">
        <v>128</v>
      </c>
      <c r="E339" s="118">
        <v>8.15</v>
      </c>
      <c r="F339" s="182">
        <f t="shared" si="13"/>
        <v>729.03380000000004</v>
      </c>
      <c r="G339" s="118">
        <v>0</v>
      </c>
      <c r="H339" s="118">
        <f t="shared" si="14"/>
        <v>0</v>
      </c>
      <c r="I339" s="190">
        <f t="shared" si="15"/>
        <v>729.03380000000004</v>
      </c>
      <c r="J339" s="313">
        <v>43053</v>
      </c>
      <c r="K339" s="256">
        <v>3.69</v>
      </c>
    </row>
    <row r="340" spans="1:11" ht="13.8" x14ac:dyDescent="0.25">
      <c r="A340" s="61" t="s">
        <v>46</v>
      </c>
      <c r="B340" s="298" t="s">
        <v>91</v>
      </c>
      <c r="C340" s="300">
        <v>59.400000000000006</v>
      </c>
      <c r="D340" s="9" t="s">
        <v>16</v>
      </c>
      <c r="E340" s="118">
        <v>105.53</v>
      </c>
      <c r="F340" s="182">
        <f t="shared" si="13"/>
        <v>6268.4820000000009</v>
      </c>
      <c r="G340" s="118">
        <v>0</v>
      </c>
      <c r="H340" s="118">
        <f t="shared" si="14"/>
        <v>0</v>
      </c>
      <c r="I340" s="190">
        <f t="shared" si="15"/>
        <v>6268.4820000000009</v>
      </c>
      <c r="J340" s="382">
        <v>1345</v>
      </c>
      <c r="K340" s="383">
        <v>36.92</v>
      </c>
    </row>
    <row r="341" spans="1:11" ht="13.8" x14ac:dyDescent="0.25">
      <c r="A341" s="61" t="s">
        <v>47</v>
      </c>
      <c r="B341" s="298" t="s">
        <v>206</v>
      </c>
      <c r="C341" s="239">
        <v>120</v>
      </c>
      <c r="D341" s="9" t="s">
        <v>10</v>
      </c>
      <c r="E341" s="118">
        <f>K341</f>
        <v>7.66</v>
      </c>
      <c r="F341" s="182">
        <f t="shared" si="13"/>
        <v>919.2</v>
      </c>
      <c r="G341" s="118">
        <v>0</v>
      </c>
      <c r="H341" s="118">
        <f t="shared" si="14"/>
        <v>0</v>
      </c>
      <c r="I341" s="190">
        <f t="shared" si="15"/>
        <v>919.2</v>
      </c>
      <c r="J341" s="382">
        <v>6193</v>
      </c>
      <c r="K341" s="383">
        <v>7.66</v>
      </c>
    </row>
    <row r="342" spans="1:11" ht="13.8" x14ac:dyDescent="0.25">
      <c r="A342" s="61" t="s">
        <v>48</v>
      </c>
      <c r="B342" s="298" t="s">
        <v>51</v>
      </c>
      <c r="C342" s="302">
        <v>10</v>
      </c>
      <c r="D342" s="303" t="s">
        <v>52</v>
      </c>
      <c r="E342" s="118">
        <v>7.1</v>
      </c>
      <c r="F342" s="182">
        <f t="shared" si="13"/>
        <v>71</v>
      </c>
      <c r="G342" s="118">
        <v>0</v>
      </c>
      <c r="H342" s="118">
        <f t="shared" si="14"/>
        <v>0</v>
      </c>
      <c r="I342" s="190">
        <f t="shared" si="15"/>
        <v>71</v>
      </c>
      <c r="J342" s="313">
        <v>2692</v>
      </c>
      <c r="K342" s="256">
        <v>4.8600000000000003</v>
      </c>
    </row>
    <row r="343" spans="1:11" ht="13.8" x14ac:dyDescent="0.25">
      <c r="A343" s="61" t="s">
        <v>49</v>
      </c>
      <c r="B343" s="298" t="s">
        <v>149</v>
      </c>
      <c r="C343" s="300">
        <v>24</v>
      </c>
      <c r="D343" s="9" t="s">
        <v>128</v>
      </c>
      <c r="E343" s="118">
        <v>22.05</v>
      </c>
      <c r="F343" s="182">
        <f t="shared" si="13"/>
        <v>529.20000000000005</v>
      </c>
      <c r="G343" s="118">
        <v>0</v>
      </c>
      <c r="H343" s="118">
        <f t="shared" si="14"/>
        <v>0</v>
      </c>
      <c r="I343" s="190">
        <f t="shared" si="15"/>
        <v>529.20000000000005</v>
      </c>
      <c r="J343" s="313">
        <v>34562</v>
      </c>
      <c r="K343" s="256">
        <v>7.99</v>
      </c>
    </row>
    <row r="344" spans="1:11" ht="13.8" x14ac:dyDescent="0.25">
      <c r="A344" s="61"/>
      <c r="B344" s="59" t="s">
        <v>7</v>
      </c>
      <c r="C344" s="79"/>
      <c r="D344" s="79"/>
      <c r="E344" s="191"/>
      <c r="F344" s="192">
        <f>SUM(F337:F343)</f>
        <v>15480.975800000004</v>
      </c>
      <c r="G344" s="191"/>
      <c r="H344" s="192">
        <f>SUM(H337:H343)</f>
        <v>0</v>
      </c>
      <c r="I344" s="192">
        <f>SUM(I337:I343)</f>
        <v>15480.975800000004</v>
      </c>
      <c r="J344" s="51"/>
      <c r="K344" s="76"/>
    </row>
    <row r="345" spans="1:11" ht="13.8" x14ac:dyDescent="0.25">
      <c r="A345" s="59" t="s">
        <v>34</v>
      </c>
      <c r="B345" s="82" t="s">
        <v>39</v>
      </c>
      <c r="C345" s="233"/>
      <c r="D345" s="84"/>
      <c r="E345" s="85"/>
      <c r="F345" s="86"/>
      <c r="G345" s="85"/>
      <c r="H345" s="86"/>
      <c r="I345" s="86"/>
      <c r="J345" s="162"/>
      <c r="K345" s="163"/>
    </row>
    <row r="346" spans="1:11" ht="13.8" x14ac:dyDescent="0.25">
      <c r="A346" s="61" t="s">
        <v>6</v>
      </c>
      <c r="B346" s="62" t="s">
        <v>136</v>
      </c>
      <c r="C346" s="302">
        <v>30</v>
      </c>
      <c r="D346" s="73" t="s">
        <v>90</v>
      </c>
      <c r="E346" s="182">
        <v>0</v>
      </c>
      <c r="F346" s="182">
        <f>PRODUCT(E346,C346)</f>
        <v>0</v>
      </c>
      <c r="G346" s="118">
        <v>98</v>
      </c>
      <c r="H346" s="182">
        <f>PRODUCT(G346,C346)</f>
        <v>2940</v>
      </c>
      <c r="I346" s="182">
        <f>SUM(F346+H346)</f>
        <v>2940</v>
      </c>
      <c r="J346" s="382">
        <v>4069</v>
      </c>
      <c r="K346" s="385">
        <v>44.57</v>
      </c>
    </row>
    <row r="347" spans="1:11" ht="13.8" x14ac:dyDescent="0.25">
      <c r="A347" s="61" t="s">
        <v>11</v>
      </c>
      <c r="B347" s="62" t="s">
        <v>137</v>
      </c>
      <c r="C347" s="300">
        <v>44</v>
      </c>
      <c r="D347" s="73" t="s">
        <v>90</v>
      </c>
      <c r="E347" s="182">
        <v>0</v>
      </c>
      <c r="F347" s="182">
        <f>PRODUCT(E347,C347)</f>
        <v>0</v>
      </c>
      <c r="G347" s="118">
        <v>15.68</v>
      </c>
      <c r="H347" s="182">
        <f>PRODUCT(G347,C347)</f>
        <v>689.92</v>
      </c>
      <c r="I347" s="182">
        <f>SUM(F347+H347)</f>
        <v>689.92</v>
      </c>
      <c r="J347" s="382">
        <v>1213</v>
      </c>
      <c r="K347" s="385">
        <v>13.04</v>
      </c>
    </row>
    <row r="348" spans="1:11" ht="13.8" x14ac:dyDescent="0.25">
      <c r="A348" s="61" t="s">
        <v>53</v>
      </c>
      <c r="B348" s="62" t="s">
        <v>138</v>
      </c>
      <c r="C348" s="300">
        <v>44</v>
      </c>
      <c r="D348" s="73" t="s">
        <v>90</v>
      </c>
      <c r="E348" s="182">
        <v>0</v>
      </c>
      <c r="F348" s="182">
        <f>PRODUCT(E348,C348)</f>
        <v>0</v>
      </c>
      <c r="G348" s="118">
        <v>18.559999999999999</v>
      </c>
      <c r="H348" s="182">
        <f>PRODUCT(G348,C348)</f>
        <v>816.64</v>
      </c>
      <c r="I348" s="182">
        <f>SUM(F348+H348)</f>
        <v>816.64</v>
      </c>
      <c r="J348" s="382">
        <v>4750</v>
      </c>
      <c r="K348" s="385">
        <v>13.04</v>
      </c>
    </row>
    <row r="349" spans="1:11" ht="13.8" x14ac:dyDescent="0.25">
      <c r="A349" s="61" t="s">
        <v>54</v>
      </c>
      <c r="B349" s="62" t="s">
        <v>143</v>
      </c>
      <c r="C349" s="300">
        <v>44</v>
      </c>
      <c r="D349" s="73" t="s">
        <v>90</v>
      </c>
      <c r="E349" s="118">
        <v>0</v>
      </c>
      <c r="F349" s="118">
        <f>PRODUCT(E349,C349)</f>
        <v>0</v>
      </c>
      <c r="G349" s="118">
        <v>18.559999999999999</v>
      </c>
      <c r="H349" s="118">
        <f>PRODUCT(G349,C349)</f>
        <v>816.64</v>
      </c>
      <c r="I349" s="118">
        <f>SUM(F349+H349)</f>
        <v>816.64</v>
      </c>
      <c r="J349" s="382">
        <v>378</v>
      </c>
      <c r="K349" s="385">
        <v>13.04</v>
      </c>
    </row>
    <row r="350" spans="1:11" ht="13.8" x14ac:dyDescent="0.25">
      <c r="A350" s="61" t="s">
        <v>55</v>
      </c>
      <c r="B350" s="62" t="s">
        <v>139</v>
      </c>
      <c r="C350" s="300">
        <v>70</v>
      </c>
      <c r="D350" s="73" t="s">
        <v>90</v>
      </c>
      <c r="E350" s="118">
        <v>0</v>
      </c>
      <c r="F350" s="118">
        <f>PRODUCT(E350,C350)</f>
        <v>0</v>
      </c>
      <c r="G350" s="118">
        <v>14.58</v>
      </c>
      <c r="H350" s="118">
        <f>PRODUCT(G350,C350)</f>
        <v>1020.6</v>
      </c>
      <c r="I350" s="118">
        <f>SUM(F350+H350)</f>
        <v>1020.6</v>
      </c>
      <c r="J350" s="382">
        <v>6111</v>
      </c>
      <c r="K350" s="385">
        <v>9.9600000000000009</v>
      </c>
    </row>
    <row r="351" spans="1:11" ht="13.8" x14ac:dyDescent="0.25">
      <c r="A351" s="61"/>
      <c r="B351" s="59" t="s">
        <v>7</v>
      </c>
      <c r="C351" s="239"/>
      <c r="D351" s="89"/>
      <c r="E351" s="118"/>
      <c r="F351" s="189">
        <f>SUM(F346:F350)</f>
        <v>0</v>
      </c>
      <c r="G351" s="118"/>
      <c r="H351" s="189">
        <f>SUM(H346:H350)</f>
        <v>6283.8000000000011</v>
      </c>
      <c r="I351" s="189">
        <f>SUM(I346:I350)</f>
        <v>6283.8000000000011</v>
      </c>
      <c r="J351" s="244"/>
      <c r="K351" s="159"/>
    </row>
    <row r="352" spans="1:11" ht="13.8" x14ac:dyDescent="0.25">
      <c r="A352" s="59" t="s">
        <v>35</v>
      </c>
      <c r="B352" s="82" t="s">
        <v>66</v>
      </c>
      <c r="C352" s="241"/>
      <c r="D352" s="84"/>
      <c r="E352" s="85"/>
      <c r="F352" s="86"/>
      <c r="G352" s="85" t="s">
        <v>219</v>
      </c>
      <c r="H352" s="86"/>
      <c r="I352" s="86"/>
      <c r="J352" s="249"/>
      <c r="K352" s="159"/>
    </row>
    <row r="353" spans="1:11" ht="13.8" x14ac:dyDescent="0.25">
      <c r="A353" s="130" t="s">
        <v>12</v>
      </c>
      <c r="B353" s="304" t="s">
        <v>131</v>
      </c>
      <c r="C353" s="300">
        <v>20</v>
      </c>
      <c r="D353" s="73" t="s">
        <v>90</v>
      </c>
      <c r="E353" s="118">
        <f>K353</f>
        <v>3.82</v>
      </c>
      <c r="F353" s="118">
        <f>PRODUCT(E353,C353)</f>
        <v>76.399999999999991</v>
      </c>
      <c r="G353" s="118">
        <v>0</v>
      </c>
      <c r="H353" s="118">
        <f>PRODUCT(G353,C353)</f>
        <v>0</v>
      </c>
      <c r="I353" s="118">
        <f>SUM(F353+H353)</f>
        <v>76.399999999999991</v>
      </c>
      <c r="J353" s="382">
        <v>646</v>
      </c>
      <c r="K353" s="386">
        <v>3.82</v>
      </c>
    </row>
    <row r="354" spans="1:11" ht="13.8" x14ac:dyDescent="0.25">
      <c r="A354" s="130" t="s">
        <v>19</v>
      </c>
      <c r="B354" s="304" t="s">
        <v>68</v>
      </c>
      <c r="C354" s="300">
        <v>60</v>
      </c>
      <c r="D354" s="73" t="s">
        <v>90</v>
      </c>
      <c r="E354" s="118">
        <f>K354</f>
        <v>1.69</v>
      </c>
      <c r="F354" s="118">
        <f>PRODUCT(E354,C354)</f>
        <v>101.39999999999999</v>
      </c>
      <c r="G354" s="118">
        <v>0</v>
      </c>
      <c r="H354" s="118">
        <f>PRODUCT(G354,C354)</f>
        <v>0</v>
      </c>
      <c r="I354" s="118">
        <f>SUM(F354+H354)</f>
        <v>101.39999999999999</v>
      </c>
      <c r="J354" s="382">
        <v>10790</v>
      </c>
      <c r="K354" s="386">
        <v>1.69</v>
      </c>
    </row>
    <row r="355" spans="1:11" ht="13.8" x14ac:dyDescent="0.25">
      <c r="A355" s="130" t="s">
        <v>119</v>
      </c>
      <c r="B355" s="304" t="s">
        <v>67</v>
      </c>
      <c r="C355" s="305">
        <v>24</v>
      </c>
      <c r="D355" s="73" t="s">
        <v>90</v>
      </c>
      <c r="E355" s="118">
        <f>K355</f>
        <v>2.96</v>
      </c>
      <c r="F355" s="118">
        <f>PRODUCT(E355,C355)</f>
        <v>71.039999999999992</v>
      </c>
      <c r="G355" s="118">
        <v>0</v>
      </c>
      <c r="H355" s="118">
        <f>PRODUCT(G355,C355)</f>
        <v>0</v>
      </c>
      <c r="I355" s="118">
        <f>SUM(F355+H355)</f>
        <v>71.039999999999992</v>
      </c>
      <c r="J355" s="382">
        <v>10486</v>
      </c>
      <c r="K355" s="385">
        <v>2.96</v>
      </c>
    </row>
    <row r="356" spans="1:11" ht="15" customHeight="1" x14ac:dyDescent="0.25">
      <c r="A356" s="130" t="s">
        <v>118</v>
      </c>
      <c r="B356" s="378" t="s">
        <v>132</v>
      </c>
      <c r="C356" s="300">
        <v>60</v>
      </c>
      <c r="D356" s="73" t="s">
        <v>90</v>
      </c>
      <c r="E356" s="118">
        <f>K356</f>
        <v>10.26</v>
      </c>
      <c r="F356" s="118">
        <f>PRODUCT(E356,C356)</f>
        <v>615.6</v>
      </c>
      <c r="G356" s="118">
        <v>0</v>
      </c>
      <c r="H356" s="118">
        <f>PRODUCT(G356,C356)</f>
        <v>0</v>
      </c>
      <c r="I356" s="118">
        <f>SUM(F356+H356)</f>
        <v>615.6</v>
      </c>
      <c r="J356" s="382">
        <v>3345</v>
      </c>
      <c r="K356" s="385">
        <v>10.26</v>
      </c>
    </row>
    <row r="357" spans="1:11" ht="14.4" thickBot="1" x14ac:dyDescent="0.3">
      <c r="A357" s="61"/>
      <c r="B357" s="59" t="s">
        <v>7</v>
      </c>
      <c r="C357" s="89"/>
      <c r="D357" s="89"/>
      <c r="E357" s="118"/>
      <c r="F357" s="189">
        <f>SUM(F353:F356)</f>
        <v>864.44</v>
      </c>
      <c r="G357" s="118"/>
      <c r="H357" s="189"/>
      <c r="I357" s="189">
        <f>SUM(I353:I356)</f>
        <v>864.44</v>
      </c>
      <c r="J357" s="51"/>
      <c r="K357" s="159"/>
    </row>
    <row r="358" spans="1:11" ht="14.4" thickBot="1" x14ac:dyDescent="0.3">
      <c r="A358" s="61"/>
      <c r="B358" s="443" t="s">
        <v>99</v>
      </c>
      <c r="C358" s="444"/>
      <c r="D358" s="444"/>
      <c r="E358" s="444"/>
      <c r="F358" s="444"/>
      <c r="G358" s="444"/>
      <c r="H358" s="193"/>
      <c r="I358" s="194">
        <f>SUM(I344+I351+I357)</f>
        <v>22629.215800000002</v>
      </c>
      <c r="J358" s="53"/>
      <c r="K358" s="159"/>
    </row>
    <row r="359" spans="1:11" ht="14.4" thickBot="1" x14ac:dyDescent="0.3">
      <c r="A359" s="61"/>
      <c r="B359" s="476" t="s">
        <v>100</v>
      </c>
      <c r="C359" s="446"/>
      <c r="D359" s="446"/>
      <c r="E359" s="446"/>
      <c r="F359" s="446"/>
      <c r="G359" s="446"/>
      <c r="H359" s="195"/>
      <c r="I359" s="196">
        <v>0.24229999999999999</v>
      </c>
      <c r="J359" s="53"/>
      <c r="K359" s="159"/>
    </row>
    <row r="360" spans="1:11" ht="14.4" thickBot="1" x14ac:dyDescent="0.3">
      <c r="A360" s="61"/>
      <c r="B360" s="443" t="s">
        <v>101</v>
      </c>
      <c r="C360" s="444"/>
      <c r="D360" s="444"/>
      <c r="E360" s="444"/>
      <c r="F360" s="444"/>
      <c r="G360" s="444"/>
      <c r="H360" s="197"/>
      <c r="I360" s="198">
        <f>I358+(I358*I359)</f>
        <v>28112.274788340001</v>
      </c>
      <c r="J360" s="214"/>
      <c r="K360" s="74"/>
    </row>
    <row r="361" spans="1:11" ht="14.4" thickBot="1" x14ac:dyDescent="0.3">
      <c r="A361" s="466" t="s">
        <v>214</v>
      </c>
      <c r="B361" s="467"/>
      <c r="C361" s="467"/>
      <c r="D361" s="467"/>
      <c r="E361" s="467"/>
      <c r="F361" s="467"/>
      <c r="G361" s="467"/>
      <c r="H361" s="468"/>
      <c r="I361" s="275">
        <f>I358/C337</f>
        <v>2828.6519750000002</v>
      </c>
      <c r="J361" s="276"/>
      <c r="K361" s="277"/>
    </row>
    <row r="362" spans="1:11" x14ac:dyDescent="0.25">
      <c r="I362" s="218"/>
    </row>
    <row r="363" spans="1:11" x14ac:dyDescent="0.25">
      <c r="I363" s="218"/>
    </row>
    <row r="364" spans="1:11" ht="15" x14ac:dyDescent="0.25">
      <c r="B364" s="343" t="s">
        <v>237</v>
      </c>
      <c r="I364" s="218"/>
    </row>
    <row r="365" spans="1:11" x14ac:dyDescent="0.25">
      <c r="I365" s="218"/>
    </row>
    <row r="366" spans="1:11" ht="15" x14ac:dyDescent="0.25">
      <c r="B366" s="338"/>
    </row>
    <row r="367" spans="1:11" ht="15" x14ac:dyDescent="0.25">
      <c r="B367" s="421" t="s">
        <v>181</v>
      </c>
      <c r="C367" s="421"/>
    </row>
    <row r="368" spans="1:11" ht="15" x14ac:dyDescent="0.25">
      <c r="B368" s="420" t="s">
        <v>160</v>
      </c>
      <c r="C368" s="420"/>
    </row>
    <row r="369" spans="2:3" ht="15" x14ac:dyDescent="0.25">
      <c r="B369" s="420" t="s">
        <v>161</v>
      </c>
      <c r="C369" s="420"/>
    </row>
    <row r="370" spans="2:3" ht="15" x14ac:dyDescent="0.25">
      <c r="B370" s="420" t="s">
        <v>165</v>
      </c>
      <c r="C370" s="420"/>
    </row>
  </sheetData>
  <mergeCells count="170">
    <mergeCell ref="A238:H238"/>
    <mergeCell ref="B358:G358"/>
    <mergeCell ref="B359:G359"/>
    <mergeCell ref="A361:H361"/>
    <mergeCell ref="G334:H334"/>
    <mergeCell ref="B360:G360"/>
    <mergeCell ref="B334:B335"/>
    <mergeCell ref="C334:C335"/>
    <mergeCell ref="D334:D335"/>
    <mergeCell ref="B265:B266"/>
    <mergeCell ref="G108:I108"/>
    <mergeCell ref="A166:H166"/>
    <mergeCell ref="B139:B140"/>
    <mergeCell ref="C139:C140"/>
    <mergeCell ref="D139:D140"/>
    <mergeCell ref="E139:F139"/>
    <mergeCell ref="I139:I140"/>
    <mergeCell ref="A163:H163"/>
    <mergeCell ref="A164:H164"/>
    <mergeCell ref="A165:H165"/>
    <mergeCell ref="C265:C266"/>
    <mergeCell ref="D265:D266"/>
    <mergeCell ref="A330:H330"/>
    <mergeCell ref="C287:C288"/>
    <mergeCell ref="A70:H70"/>
    <mergeCell ref="A103:H103"/>
    <mergeCell ref="A134:H134"/>
    <mergeCell ref="A241:F241"/>
    <mergeCell ref="G241:I241"/>
    <mergeCell ref="A242:A243"/>
    <mergeCell ref="I265:I266"/>
    <mergeCell ref="E265:F265"/>
    <mergeCell ref="I334:I335"/>
    <mergeCell ref="A286:F286"/>
    <mergeCell ref="G286:I286"/>
    <mergeCell ref="A287:A288"/>
    <mergeCell ref="B287:B288"/>
    <mergeCell ref="D287:D288"/>
    <mergeCell ref="I287:I288"/>
    <mergeCell ref="E334:F334"/>
    <mergeCell ref="B242:B243"/>
    <mergeCell ref="C242:C243"/>
    <mergeCell ref="D242:D243"/>
    <mergeCell ref="I242:I243"/>
    <mergeCell ref="A210:F210"/>
    <mergeCell ref="G210:I210"/>
    <mergeCell ref="A211:A212"/>
    <mergeCell ref="B211:B212"/>
    <mergeCell ref="C211:C212"/>
    <mergeCell ref="D211:D212"/>
    <mergeCell ref="I211:I212"/>
    <mergeCell ref="A170:A171"/>
    <mergeCell ref="B170:B171"/>
    <mergeCell ref="C170:C171"/>
    <mergeCell ref="D170:D171"/>
    <mergeCell ref="G170:H170"/>
    <mergeCell ref="B196:G196"/>
    <mergeCell ref="I170:I171"/>
    <mergeCell ref="E211:F211"/>
    <mergeCell ref="A169:F169"/>
    <mergeCell ref="G169:I169"/>
    <mergeCell ref="A139:A140"/>
    <mergeCell ref="G139:H139"/>
    <mergeCell ref="A138:F138"/>
    <mergeCell ref="G138:I138"/>
    <mergeCell ref="I109:I110"/>
    <mergeCell ref="A131:H131"/>
    <mergeCell ref="A132:H132"/>
    <mergeCell ref="A133:H133"/>
    <mergeCell ref="A109:A110"/>
    <mergeCell ref="C109:C110"/>
    <mergeCell ref="D109:D110"/>
    <mergeCell ref="E109:F109"/>
    <mergeCell ref="G109:H109"/>
    <mergeCell ref="B109:B110"/>
    <mergeCell ref="I44:I45"/>
    <mergeCell ref="A101:H101"/>
    <mergeCell ref="A102:H102"/>
    <mergeCell ref="G73:I73"/>
    <mergeCell ref="A74:A75"/>
    <mergeCell ref="B74:B75"/>
    <mergeCell ref="C74:C75"/>
    <mergeCell ref="D74:D75"/>
    <mergeCell ref="E74:F74"/>
    <mergeCell ref="I74:I75"/>
    <mergeCell ref="A44:A45"/>
    <mergeCell ref="B44:B45"/>
    <mergeCell ref="C44:C45"/>
    <mergeCell ref="D44:D45"/>
    <mergeCell ref="E44:F44"/>
    <mergeCell ref="G44:H44"/>
    <mergeCell ref="D20:D21"/>
    <mergeCell ref="B198:G198"/>
    <mergeCell ref="F207:G207"/>
    <mergeCell ref="G20:H20"/>
    <mergeCell ref="E170:F170"/>
    <mergeCell ref="B197:G197"/>
    <mergeCell ref="A67:H67"/>
    <mergeCell ref="A68:H68"/>
    <mergeCell ref="A43:F43"/>
    <mergeCell ref="G43:I43"/>
    <mergeCell ref="A19:F19"/>
    <mergeCell ref="G19:I19"/>
    <mergeCell ref="A36:H36"/>
    <mergeCell ref="A37:H37"/>
    <mergeCell ref="A38:H38"/>
    <mergeCell ref="A20:A21"/>
    <mergeCell ref="B20:B21"/>
    <mergeCell ref="E20:F20"/>
    <mergeCell ref="C20:C21"/>
    <mergeCell ref="I20:I21"/>
    <mergeCell ref="E242:F242"/>
    <mergeCell ref="B237:G237"/>
    <mergeCell ref="G211:H211"/>
    <mergeCell ref="B235:G235"/>
    <mergeCell ref="B236:G236"/>
    <mergeCell ref="A69:H69"/>
    <mergeCell ref="A73:F73"/>
    <mergeCell ref="G74:H74"/>
    <mergeCell ref="A108:F108"/>
    <mergeCell ref="A100:H100"/>
    <mergeCell ref="F260:G260"/>
    <mergeCell ref="G242:H242"/>
    <mergeCell ref="B282:G282"/>
    <mergeCell ref="G265:H265"/>
    <mergeCell ref="B279:G279"/>
    <mergeCell ref="B281:G281"/>
    <mergeCell ref="B280:G280"/>
    <mergeCell ref="A264:F264"/>
    <mergeCell ref="G264:I264"/>
    <mergeCell ref="A265:A266"/>
    <mergeCell ref="K301:K304"/>
    <mergeCell ref="A302:A303"/>
    <mergeCell ref="B302:B303"/>
    <mergeCell ref="C302:C303"/>
    <mergeCell ref="D302:D303"/>
    <mergeCell ref="E302:F302"/>
    <mergeCell ref="G302:H302"/>
    <mergeCell ref="I302:I303"/>
    <mergeCell ref="J301:J304"/>
    <mergeCell ref="B370:C370"/>
    <mergeCell ref="B367:C367"/>
    <mergeCell ref="A327:H327"/>
    <mergeCell ref="A328:H328"/>
    <mergeCell ref="A329:H329"/>
    <mergeCell ref="A301:F301"/>
    <mergeCell ref="G301:I301"/>
    <mergeCell ref="A333:F333"/>
    <mergeCell ref="G333:I333"/>
    <mergeCell ref="A334:A335"/>
    <mergeCell ref="E3:F3"/>
    <mergeCell ref="G3:H3"/>
    <mergeCell ref="I3:I4"/>
    <mergeCell ref="B368:C368"/>
    <mergeCell ref="B369:C369"/>
    <mergeCell ref="E287:F287"/>
    <mergeCell ref="G287:H287"/>
    <mergeCell ref="B295:G295"/>
    <mergeCell ref="B296:G296"/>
    <mergeCell ref="B283:G283"/>
    <mergeCell ref="B14:G14"/>
    <mergeCell ref="B15:G15"/>
    <mergeCell ref="B16:G16"/>
    <mergeCell ref="A1:K1"/>
    <mergeCell ref="A2:F2"/>
    <mergeCell ref="G2:I2"/>
    <mergeCell ref="A3:A4"/>
    <mergeCell ref="B3:B4"/>
    <mergeCell ref="C3:C4"/>
    <mergeCell ref="D3:D4"/>
  </mergeCells>
  <conditionalFormatting sqref="B283">
    <cfRule type="expression" dxfId="30" priority="46" stopIfTrue="1">
      <formula>#REF!=1</formula>
    </cfRule>
  </conditionalFormatting>
  <conditionalFormatting sqref="B283">
    <cfRule type="expression" dxfId="29" priority="47" stopIfTrue="1">
      <formula>#REF!=1</formula>
    </cfRule>
  </conditionalFormatting>
  <conditionalFormatting sqref="B296">
    <cfRule type="expression" dxfId="28" priority="44" stopIfTrue="1">
      <formula>#REF!=1</formula>
    </cfRule>
  </conditionalFormatting>
  <conditionalFormatting sqref="B296">
    <cfRule type="expression" dxfId="27" priority="45" stopIfTrue="1">
      <formula>#REF!=1</formula>
    </cfRule>
  </conditionalFormatting>
  <conditionalFormatting sqref="B198">
    <cfRule type="expression" dxfId="26" priority="42" stopIfTrue="1">
      <formula>#REF!=1</formula>
    </cfRule>
  </conditionalFormatting>
  <conditionalFormatting sqref="B198">
    <cfRule type="expression" dxfId="25" priority="43" stopIfTrue="1">
      <formula>#REF!=1</formula>
    </cfRule>
  </conditionalFormatting>
  <conditionalFormatting sqref="B34">
    <cfRule type="expression" dxfId="24" priority="34" stopIfTrue="1">
      <formula>$K34=1</formula>
    </cfRule>
  </conditionalFormatting>
  <conditionalFormatting sqref="B34">
    <cfRule type="expression" dxfId="23" priority="35" stopIfTrue="1">
      <formula>#REF!=1</formula>
    </cfRule>
  </conditionalFormatting>
  <conditionalFormatting sqref="B193">
    <cfRule type="expression" dxfId="22" priority="32" stopIfTrue="1">
      <formula>$K193=1</formula>
    </cfRule>
  </conditionalFormatting>
  <conditionalFormatting sqref="B193">
    <cfRule type="expression" dxfId="21" priority="33" stopIfTrue="1">
      <formula>#REF!=1</formula>
    </cfRule>
  </conditionalFormatting>
  <conditionalFormatting sqref="B324">
    <cfRule type="expression" dxfId="20" priority="28" stopIfTrue="1">
      <formula>$K324=1</formula>
    </cfRule>
  </conditionalFormatting>
  <conditionalFormatting sqref="B324">
    <cfRule type="expression" dxfId="19" priority="29" stopIfTrue="1">
      <formula>#REF!=1</formula>
    </cfRule>
  </conditionalFormatting>
  <conditionalFormatting sqref="B12 B16 B6">
    <cfRule type="expression" dxfId="18" priority="25" stopIfTrue="1">
      <formula>#REF!=1</formula>
    </cfRule>
  </conditionalFormatting>
  <conditionalFormatting sqref="B12 B6">
    <cfRule type="expression" dxfId="17" priority="26" stopIfTrue="1">
      <formula>#REF!=1</formula>
    </cfRule>
  </conditionalFormatting>
  <conditionalFormatting sqref="B16">
    <cfRule type="expression" dxfId="16" priority="27" stopIfTrue="1">
      <formula>#REF!=1</formula>
    </cfRule>
  </conditionalFormatting>
  <conditionalFormatting sqref="B237">
    <cfRule type="expression" dxfId="15" priority="23" stopIfTrue="1">
      <formula>#REF!=1</formula>
    </cfRule>
  </conditionalFormatting>
  <conditionalFormatting sqref="B237">
    <cfRule type="expression" dxfId="14" priority="24" stopIfTrue="1">
      <formula>#REF!=1</formula>
    </cfRule>
  </conditionalFormatting>
  <conditionalFormatting sqref="B232">
    <cfRule type="expression" dxfId="13" priority="21" stopIfTrue="1">
      <formula>$K232=1</formula>
    </cfRule>
  </conditionalFormatting>
  <conditionalFormatting sqref="B232">
    <cfRule type="expression" dxfId="12" priority="22" stopIfTrue="1">
      <formula>#REF!=1</formula>
    </cfRule>
  </conditionalFormatting>
  <conditionalFormatting sqref="B64">
    <cfRule type="expression" dxfId="11" priority="20" stopIfTrue="1">
      <formula>#REF!=1</formula>
    </cfRule>
  </conditionalFormatting>
  <conditionalFormatting sqref="B64">
    <cfRule type="expression" dxfId="10" priority="19" stopIfTrue="1">
      <formula>$K64=1</formula>
    </cfRule>
  </conditionalFormatting>
  <conditionalFormatting sqref="B97">
    <cfRule type="expression" dxfId="9" priority="17" stopIfTrue="1">
      <formula>$K97=1</formula>
    </cfRule>
  </conditionalFormatting>
  <conditionalFormatting sqref="B97">
    <cfRule type="expression" dxfId="8" priority="18" stopIfTrue="1">
      <formula>#REF!=1</formula>
    </cfRule>
  </conditionalFormatting>
  <conditionalFormatting sqref="B128">
    <cfRule type="expression" dxfId="7" priority="14" stopIfTrue="1">
      <formula>#REF!=1</formula>
    </cfRule>
  </conditionalFormatting>
  <conditionalFormatting sqref="B128">
    <cfRule type="expression" dxfId="6" priority="13" stopIfTrue="1">
      <formula>$K128=1</formula>
    </cfRule>
  </conditionalFormatting>
  <conditionalFormatting sqref="B160">
    <cfRule type="expression" dxfId="5" priority="5" stopIfTrue="1">
      <formula>$K160=1</formula>
    </cfRule>
  </conditionalFormatting>
  <conditionalFormatting sqref="B160">
    <cfRule type="expression" dxfId="4" priority="6" stopIfTrue="1">
      <formula>#REF!=1</formula>
    </cfRule>
  </conditionalFormatting>
  <conditionalFormatting sqref="B356">
    <cfRule type="expression" dxfId="3" priority="1" stopIfTrue="1">
      <formula>$K356=1</formula>
    </cfRule>
  </conditionalFormatting>
  <conditionalFormatting sqref="B360">
    <cfRule type="expression" dxfId="2" priority="3" stopIfTrue="1">
      <formula>#REF!=1</formula>
    </cfRule>
  </conditionalFormatting>
  <conditionalFormatting sqref="B360">
    <cfRule type="expression" dxfId="1" priority="4" stopIfTrue="1">
      <formula>#REF!=1</formula>
    </cfRule>
  </conditionalFormatting>
  <conditionalFormatting sqref="B356">
    <cfRule type="expression" dxfId="0" priority="2" stopIfTrue="1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Orçamento</vt:lpstr>
      <vt:lpstr>Cronograma</vt:lpstr>
      <vt:lpstr>BDI</vt:lpstr>
      <vt:lpstr>Composições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Marcia Flores</cp:lastModifiedBy>
  <cp:lastPrinted>2025-10-22T22:53:09Z</cp:lastPrinted>
  <dcterms:created xsi:type="dcterms:W3CDTF">2004-03-03T01:33:17Z</dcterms:created>
  <dcterms:modified xsi:type="dcterms:W3CDTF">2026-11-03T14:29:49Z</dcterms:modified>
</cp:coreProperties>
</file>