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245" tabRatio="602" activeTab="3"/>
  </bookViews>
  <sheets>
    <sheet name="Parâmetros" sheetId="1" r:id="rId1"/>
    <sheet name="Projeções" sheetId="2" r:id="rId2"/>
    <sheet name="RCL" sheetId="3" r:id="rId3"/>
    <sheet name="RCL PASEP" sheetId="4" r:id="rId4"/>
    <sheet name="Pessoal" sheetId="5" r:id="rId5"/>
    <sheet name="Dívida" sheetId="6" r:id="rId6"/>
    <sheet name="RPrim-Nom" sheetId="7" r:id="rId7"/>
    <sheet name="Metas Cons" sheetId="8" r:id="rId8"/>
    <sheet name="MetasRPPS" sheetId="9" r:id="rId9"/>
    <sheet name=" Avaliação" sheetId="10" r:id="rId10"/>
    <sheet name="Comparação" sheetId="11" r:id="rId11"/>
    <sheet name=" Patrimônio" sheetId="12" r:id="rId12"/>
    <sheet name=" Alienação" sheetId="13" r:id="rId13"/>
    <sheet name="RPPS-Fin-Atuarial" sheetId="14" r:id="rId14"/>
    <sheet name="Renúncia" sheetId="15" r:id="rId15"/>
    <sheet name="DOCC" sheetId="16" r:id="rId16"/>
    <sheet name="Anexo Riscos" sheetId="17" r:id="rId17"/>
    <sheet name="Anexo III - Metas e Prioridades" sheetId="18" r:id="rId18"/>
    <sheet name="Anexo IV - Cons do Patrimônio" sheetId="19" r:id="rId19"/>
    <sheet name="claculo do duodécimo" sheetId="20" r:id="rId20"/>
    <sheet name="Estudos e estimativas" sheetId="21" r:id="rId21"/>
  </sheets>
  <externalReferences>
    <externalReference r:id="rId24"/>
  </externalReferences>
  <definedNames>
    <definedName name="_xlfn.SINGLE" hidden="1">#NAME?</definedName>
    <definedName name="_xlnm.Print_Area" localSheetId="9">' Avaliação'!$A$1:$I$58</definedName>
    <definedName name="_xlnm.Print_Area" localSheetId="11">' Patrimônio'!$A$1:$G$69</definedName>
    <definedName name="_xlnm.Print_Area" localSheetId="15">'DOCC'!$A$1:$B$50</definedName>
    <definedName name="_xlnm.Print_Area" localSheetId="7">'Metas Cons'!$A$1:$M$95</definedName>
    <definedName name="_xlnm.Print_Area" localSheetId="0">'Parâmetros'!$A$7:$H$48</definedName>
    <definedName name="_xlnm.Print_Area" localSheetId="6">'RPrim-Nom'!$A$1:$G$90</definedName>
    <definedName name="Z_16B3F100_CCE8_11D8_BD62_000C6E3CD3F1_.wvu.Cols" localSheetId="0" hidden="1">'Parâmetros'!$C:$C,'Parâmetros'!#REF!</definedName>
    <definedName name="Z_16B3F100_CCE8_11D8_BD62_000C6E3CD3F1_.wvu.Rows" localSheetId="5" hidden="1">'Dívida'!$24:$24,'Dívida'!#REF!</definedName>
    <definedName name="Z_16B3F100_CCE8_11D8_BD62_000C6E3CD3F1_.wvu.Rows" localSheetId="0" hidden="1">'Parâmetros'!$1:$6,'Parâmetros'!#REF!,'Parâmetros'!$12:$12</definedName>
  </definedNames>
  <calcPr fullCalcOnLoad="1"/>
</workbook>
</file>

<file path=xl/sharedStrings.xml><?xml version="1.0" encoding="utf-8"?>
<sst xmlns="http://schemas.openxmlformats.org/spreadsheetml/2006/main" count="2022" uniqueCount="1447">
  <si>
    <t>CONTAS</t>
  </si>
  <si>
    <t>DESPESAS CORRENTES</t>
  </si>
  <si>
    <t>DESPESAS DE CAPITAL</t>
  </si>
  <si>
    <t>INVESTIMENTOS</t>
  </si>
  <si>
    <t>INVERSÕES FINANCEIRAS</t>
  </si>
  <si>
    <t>Valores em R$</t>
  </si>
  <si>
    <t>FISCAIS</t>
  </si>
  <si>
    <t xml:space="preserve">RESULTADOS </t>
  </si>
  <si>
    <t>CONSOLIDADAS ANUAIS</t>
  </si>
  <si>
    <t>REALIZADO</t>
  </si>
  <si>
    <t>Realizado</t>
  </si>
  <si>
    <t>Previsão</t>
  </si>
  <si>
    <t>PROJETADO</t>
  </si>
  <si>
    <t>%</t>
  </si>
  <si>
    <t>1. RECEITA CORRENTE LÍQUIDA</t>
  </si>
  <si>
    <t>2. RECEITAS DE TRIBUTOS</t>
  </si>
  <si>
    <t>3. RECEITAS FINANCEIRAS</t>
  </si>
  <si>
    <t>4. RENÚNCIA FISCAL</t>
  </si>
  <si>
    <t>5. VALOR LÍQUIDO DO FUNDEF</t>
  </si>
  <si>
    <t>6. TRANSFERÊNCIAS DA UNIÃO</t>
  </si>
  <si>
    <t>7. TRANSFERÊNCIAS DOS ESTADOS</t>
  </si>
  <si>
    <t>8. OPERAÇÕES DE CRÉDITO</t>
  </si>
  <si>
    <t>9. AROS</t>
  </si>
  <si>
    <t>10. PESSOAL ATIVO</t>
  </si>
  <si>
    <t>11. PESSOAL INATIVO</t>
  </si>
  <si>
    <t>12. PENSIONISTAS</t>
  </si>
  <si>
    <t>13. SERVIÇOS DE TERCEIROS</t>
  </si>
  <si>
    <t>14. OUTROS CUSTEIOS CORRENTES</t>
  </si>
  <si>
    <t>16. ENCARGOS DA DÍVIDA</t>
  </si>
  <si>
    <t>17. AMORTIZAÇÕES DA DÍVIDA</t>
  </si>
  <si>
    <t>18. DESPESAS FINANCEIRAS</t>
  </si>
  <si>
    <t>19. RESULTADO PRIMÁRIO</t>
  </si>
  <si>
    <t>20. RESULTADO NOMINAL</t>
  </si>
  <si>
    <t>15. INVESTIMENTOS</t>
  </si>
  <si>
    <t>Operação de Crédito Externo</t>
  </si>
  <si>
    <t xml:space="preserve"> 2.2.3 Dívida Mobiliária</t>
  </si>
  <si>
    <t>LEI DE DIRETRIZES ORÇAMENTÁRIAS</t>
  </si>
  <si>
    <t>Resultado Nominal</t>
  </si>
  <si>
    <t>2.1 - Operações de Crédito</t>
  </si>
  <si>
    <t>Receita Total</t>
  </si>
  <si>
    <t>Despesa Total</t>
  </si>
  <si>
    <t>Reservas</t>
  </si>
  <si>
    <t>3.0.00.00.00.00.00</t>
  </si>
  <si>
    <t>3.1.00.00.00.00.00</t>
  </si>
  <si>
    <t>PESSOAL E ENCARGOS SOCIAIS</t>
  </si>
  <si>
    <t>3.2.00.00.00.00.00</t>
  </si>
  <si>
    <t>3.3.00.00.00.00.00</t>
  </si>
  <si>
    <t>OUTRAS DESPESAS CORRENTES</t>
  </si>
  <si>
    <t>4.0.00.00.00.00.00</t>
  </si>
  <si>
    <t>4.4.00.00.00.00.00</t>
  </si>
  <si>
    <t>4.5.00.00.00.00.00</t>
  </si>
  <si>
    <t>4.5.90.66.00.00.00</t>
  </si>
  <si>
    <t>Concessão de Empréstimos e Financiamentos</t>
  </si>
  <si>
    <t>4.6.00.00.00.00.00</t>
  </si>
  <si>
    <t>AMORTIZAÇÃO DA DÍVIDA PÚBLICA</t>
  </si>
  <si>
    <t>Valores em R$ 1,00</t>
  </si>
  <si>
    <t>ESPECIFICAÇÃO</t>
  </si>
  <si>
    <t>Valor</t>
  </si>
  <si>
    <t>% PIB</t>
  </si>
  <si>
    <t>Corrente</t>
  </si>
  <si>
    <t>Constante</t>
  </si>
  <si>
    <t>(a / PIB)</t>
  </si>
  <si>
    <t>(b / PIB)</t>
  </si>
  <si>
    <t>(c / PIB)</t>
  </si>
  <si>
    <t>(a)</t>
  </si>
  <si>
    <t>x 100</t>
  </si>
  <si>
    <t>(b)</t>
  </si>
  <si>
    <t>(c)</t>
  </si>
  <si>
    <t xml:space="preserve"> Despesa Total</t>
  </si>
  <si>
    <t xml:space="preserve"> Dívida Pública Consolidada </t>
  </si>
  <si>
    <t xml:space="preserve">Variação </t>
  </si>
  <si>
    <t>%               (c/a) x 100</t>
  </si>
  <si>
    <t>Resultado Primário (I–II)</t>
  </si>
  <si>
    <t xml:space="preserve">Dívida Pública Consolidada </t>
  </si>
  <si>
    <t>Dívida Consolidada Líquida</t>
  </si>
  <si>
    <t>VALORES A PREÇOS CORRENTES</t>
  </si>
  <si>
    <t xml:space="preserve">     Receita Total </t>
  </si>
  <si>
    <t>Despesa Total </t>
  </si>
  <si>
    <t>Resultado Primário (I – II)</t>
  </si>
  <si>
    <t xml:space="preserve">Resultado Nominal  </t>
  </si>
  <si>
    <t>Dívida Pública Consolidada</t>
  </si>
  <si>
    <t>VALORES A PREÇOS CONSTANTES</t>
  </si>
  <si>
    <t>PATRIMÔNIO LÍQUIDO</t>
  </si>
  <si>
    <t>Patrimônio/Capital</t>
  </si>
  <si>
    <t>Resultado Acumulado</t>
  </si>
  <si>
    <t>TOTAL</t>
  </si>
  <si>
    <t>REGIME PREVIDENCIÁRIO</t>
  </si>
  <si>
    <t>RECEITAS REALIZADAS</t>
  </si>
  <si>
    <t xml:space="preserve">        Alienação de Bens Móveis</t>
  </si>
  <si>
    <t xml:space="preserve">        Alienação de Bens Imóveis</t>
  </si>
  <si>
    <t xml:space="preserve">   DESPESAS DE CAPITAL</t>
  </si>
  <si>
    <t xml:space="preserve">         Investimentos</t>
  </si>
  <si>
    <t xml:space="preserve">         Inversões Financeiras</t>
  </si>
  <si>
    <t xml:space="preserve">        Amortização da Dívida</t>
  </si>
  <si>
    <t xml:space="preserve">    DESPESAS CORRENTES DOS REGIMES DE PREVID.</t>
  </si>
  <si>
    <t xml:space="preserve">        Regime Geral de Previdência Social</t>
  </si>
  <si>
    <t xml:space="preserve">        Regime Próprio dos Servidores Públicos  </t>
  </si>
  <si>
    <t xml:space="preserve">SALDO FINANCEIRO </t>
  </si>
  <si>
    <t>EXERCÍCIO</t>
  </si>
  <si>
    <t>RENÚNCIA DE RECEITA PREVISTA</t>
  </si>
  <si>
    <t>COMPENSAÇÃO</t>
  </si>
  <si>
    <t>EVENTO</t>
  </si>
  <si>
    <t xml:space="preserve">Aumento Permanente da Receita  </t>
  </si>
  <si>
    <t>Saldo Final do Aumento Permanente de Receita  (I)</t>
  </si>
  <si>
    <t>Redução Permanente de Despesa (II)</t>
  </si>
  <si>
    <t>Margem Bruta  (III) = (I+II)</t>
  </si>
  <si>
    <t>Saldo Utilizado da Margem Bruta (IV)</t>
  </si>
  <si>
    <t>PROVIDÊNCIAS</t>
  </si>
  <si>
    <t>Descrição</t>
  </si>
  <si>
    <t>I-Metas Previstas em</t>
  </si>
  <si>
    <t>II-Metas Realizadas em</t>
  </si>
  <si>
    <t>Valor (c) = (b-a)</t>
  </si>
  <si>
    <t>Variação %</t>
  </si>
  <si>
    <t>Variação%</t>
  </si>
  <si>
    <t>Despesas Primárias (II)</t>
  </si>
  <si>
    <t>Receita Primárias (I)</t>
  </si>
  <si>
    <t>Despesa Primárias (II)</t>
  </si>
  <si>
    <t>DEMONSTRATIVO DE METAS FISCAIS ATUAIS COMPARADAS COM AS FIXADAS  NOS TRÊS EXERCÍCIOS ANTERIORES</t>
  </si>
  <si>
    <t>Receitas Primárias (I)</t>
  </si>
  <si>
    <t>Saldo</t>
  </si>
  <si>
    <t>Reestimativa</t>
  </si>
  <si>
    <t>REESTIMADO</t>
  </si>
  <si>
    <t>JUROS E ENCARGOS DA DÍVIDA</t>
  </si>
  <si>
    <t>INFLAÇÃO MÉDIA ANUAL   (I P C A)</t>
  </si>
  <si>
    <t xml:space="preserve">VARIAÇÃODO PIB </t>
  </si>
  <si>
    <t>CRESCIMENTO VEGETATIVO DA FOLHA SALARIAL</t>
  </si>
  <si>
    <t>CRESCIMENTO AUTÔNOMO DE OUTROS CUSTEIOS</t>
  </si>
  <si>
    <t>ESFORÇO NA ARRECADAÇÃO TRIBUTÁRIA</t>
  </si>
  <si>
    <t xml:space="preserve">   Decorrente de Receitas Tributárias</t>
  </si>
  <si>
    <t xml:space="preserve">   Decorrente de Transferências Correntes</t>
  </si>
  <si>
    <t xml:space="preserve">      Relativas a  Pessoal e Encargos Sociais</t>
  </si>
  <si>
    <t xml:space="preserve">      Relativas a  Outras Despesas Correntes</t>
  </si>
  <si>
    <t>da Prefeitura Municipal</t>
  </si>
  <si>
    <t>Rendimento de Aplicações Financeira de Alienaç de Bens</t>
  </si>
  <si>
    <t xml:space="preserve">CRESCIMENTO DOS INVESTIMENTOS </t>
  </si>
  <si>
    <t>cando-se, sobre eles, as projeções de inflação para os referidos exercícios a saber:</t>
  </si>
  <si>
    <t>Exercício</t>
  </si>
  <si>
    <t>(-)  Transferências ao FUNDEB</t>
  </si>
  <si>
    <t xml:space="preserve">  Receita Total RPPS</t>
  </si>
  <si>
    <t xml:space="preserve">  Receitas Primárias RPPS (I)</t>
  </si>
  <si>
    <t xml:space="preserve"> Despesa Total RPPS</t>
  </si>
  <si>
    <t>Despesas Primárias RPPS (II)</t>
  </si>
  <si>
    <t xml:space="preserve"> Resultado Primário  RPPS (I – II)</t>
  </si>
  <si>
    <t xml:space="preserve">Operações de Crédito / Pagamentos </t>
  </si>
  <si>
    <t>ANEXO DE  METAS FISCAIS</t>
  </si>
  <si>
    <t>TRIBUTO</t>
  </si>
  <si>
    <t>MODALIDADE</t>
  </si>
  <si>
    <t>SETORES/ PROGRAMAS/ BENEFICIÁRIO</t>
  </si>
  <si>
    <t xml:space="preserve">          -</t>
  </si>
  <si>
    <t>Vide Obsevação</t>
  </si>
  <si>
    <t>abaixo</t>
  </si>
  <si>
    <t>DESPESAS  EXECUTADAS</t>
  </si>
  <si>
    <t>ANEXO DE RISCOS FISCAIS</t>
  </si>
  <si>
    <t>PASSIVOS CONTINGENTES</t>
  </si>
  <si>
    <t>Demandas Judiciais</t>
  </si>
  <si>
    <t>Dívidas em Processo de Reconhecimento</t>
  </si>
  <si>
    <t>Avais e Garantias Concedidas</t>
  </si>
  <si>
    <t>Assistências Diversas</t>
  </si>
  <si>
    <t>Outros Passivos Contingentes</t>
  </si>
  <si>
    <t>SUBTOTAL</t>
  </si>
  <si>
    <t>DEMAIS RISCOS FISCAIS PASSIVOS</t>
  </si>
  <si>
    <t>Frustração de Arrecadação</t>
  </si>
  <si>
    <t>Restituição de Tributos a Maior</t>
  </si>
  <si>
    <t>Discrepância de Projeções:</t>
  </si>
  <si>
    <t>RESERVA ORÇAMENTÁRIA DO RPPS</t>
  </si>
  <si>
    <t>CONSOLIDAÇÃO GERAL</t>
  </si>
  <si>
    <t xml:space="preserve">   Novas DOCC</t>
  </si>
  <si>
    <t xml:space="preserve">   Novas DOCC geradas por PPP</t>
  </si>
  <si>
    <t>Margem Líquida de Expansão de DOCC (V) = (III-IV)</t>
  </si>
  <si>
    <t>(-) Transferências Constitucionais</t>
  </si>
  <si>
    <t>9.9.99.99.99.99.01</t>
  </si>
  <si>
    <t>9.9.99.99.99.99.02</t>
  </si>
  <si>
    <t>ANEXO  III -  METAS E PRIORIDADES</t>
  </si>
  <si>
    <t xml:space="preserve">PROGRAMA: </t>
  </si>
  <si>
    <t xml:space="preserve">OBJETIVO: </t>
  </si>
  <si>
    <t>TIPO (*)</t>
  </si>
  <si>
    <t>Ação</t>
  </si>
  <si>
    <t>Unidade de Medida</t>
  </si>
  <si>
    <t>Produto</t>
  </si>
  <si>
    <t>Meta Física</t>
  </si>
  <si>
    <r>
      <t>TOTAL DO PROGRAMA   =======================================</t>
    </r>
    <r>
      <rPr>
        <b/>
        <sz val="9"/>
        <rFont val="Wingdings"/>
        <family val="0"/>
      </rPr>
      <t>è</t>
    </r>
  </si>
  <si>
    <t xml:space="preserve">(*)  Tipo:  P – Projeto       A - Atividade </t>
  </si>
  <si>
    <t xml:space="preserve">OE – Operação Especial      NO – Não-orçamentária            </t>
  </si>
  <si>
    <t xml:space="preserve">Pessoal  do  R P P S </t>
  </si>
  <si>
    <t xml:space="preserve">Juros e encargos da Dívida RPPS </t>
  </si>
  <si>
    <t>Fonte: Sistema &lt;Nome&gt;, Unidade Responsável &lt;Nome&gt;, Data da emissão &lt;dd/mmm/aaaa&gt; e hora de emissão &lt;hhh e mmm&gt;</t>
  </si>
  <si>
    <t> FONTE: Sistema &lt;Nome&gt;, Unidade Responsável &lt;Nome&gt;, Data da emissão &lt;dd/mmm/aaaa&gt; e hora de emissão &lt;hhh e mmm&gt;</t>
  </si>
  <si>
    <t>Fonte:  Sistema &lt;Nome&gt;, Unidade Responsável &lt;Nome&gt;, Data da emissão &lt;dd/mmm/aaaa&gt; e hora de emissão &lt;hhh e mmm&gt;</t>
  </si>
  <si>
    <t>Taxa de Juros Selic (Média do Ano)</t>
  </si>
  <si>
    <t>ARRECADADA</t>
  </si>
  <si>
    <t>1.0.0.0.00.0.0.00.00.00</t>
  </si>
  <si>
    <t>Receitas Correntes</t>
  </si>
  <si>
    <t>1.1.0.0.00.0.0.00.00.00</t>
  </si>
  <si>
    <t>Impostos, Taxas e Contribuições de Melhoria</t>
  </si>
  <si>
    <t>1.1.1.0.00.0.0.00.00.00</t>
  </si>
  <si>
    <t>1.1.2.0.00.0.0.00.00.00</t>
  </si>
  <si>
    <t>Taxas</t>
  </si>
  <si>
    <t>1.1.3.0.00.0.0.00.00.00</t>
  </si>
  <si>
    <t>Contribuição de Melhoria</t>
  </si>
  <si>
    <t>1.2.0.0.00.0.0.00.00.00</t>
  </si>
  <si>
    <t>Contribuições</t>
  </si>
  <si>
    <t>1.2.1.0.00.0.0.00.00.00</t>
  </si>
  <si>
    <t>Contribuições Sociais</t>
  </si>
  <si>
    <t>1.2.1.0.06.0.0.00.00.00</t>
  </si>
  <si>
    <t>Contribuição para os Fundos de Assistência Médica</t>
  </si>
  <si>
    <t>1.2.1.0.99.0.0.00.00.00</t>
  </si>
  <si>
    <t>Outras Contribuições Sociais</t>
  </si>
  <si>
    <t>1.2.1.8.00.0.0.00.00.00</t>
  </si>
  <si>
    <t>1.2.2.0.00.0.0.00.00.00</t>
  </si>
  <si>
    <t>Contribuições Econômicas</t>
  </si>
  <si>
    <t>1.2.4.0.00.0.0.00.00.00</t>
  </si>
  <si>
    <t>Contribuição para o Custeio do Serviço de Iluminação Pública</t>
  </si>
  <si>
    <t>1.3.0.0.00.0.0.00.00.00</t>
  </si>
  <si>
    <t>Receita Patrimonial</t>
  </si>
  <si>
    <t>1.3.1.0.00.0.0.00.00.00</t>
  </si>
  <si>
    <t>Exploração do Patrimônio Imobiliário do Estado</t>
  </si>
  <si>
    <t>1.3.2.0.00.0.0.00.00.00</t>
  </si>
  <si>
    <t>Valores Mobiliários</t>
  </si>
  <si>
    <t>1.3.2.1.00.1.1.01.00.00</t>
  </si>
  <si>
    <t>Remuneração de Depósitos de Recursos Vinculados - Principal</t>
  </si>
  <si>
    <t>1.3.2.1.00.1.1.02.00.00</t>
  </si>
  <si>
    <t>Remuneração de Depósitos de Recursos Não Vinculados - Principal</t>
  </si>
  <si>
    <t>1.3.2.1.00.4.0.00.00.00</t>
  </si>
  <si>
    <t>1.3.2.1.00.5.0.00.00.00</t>
  </si>
  <si>
    <t>Juros de Títulos de Renda</t>
  </si>
  <si>
    <t>1.3.2.9.00.0.0.00.00.00</t>
  </si>
  <si>
    <t>Outros Valores Mobiliários</t>
  </si>
  <si>
    <t>1.3.3.0.00.0.0.00.00.00</t>
  </si>
  <si>
    <t>Delegação de Serviços Públicos Mediante Concessão, Permissão, Autorização ou Licença</t>
  </si>
  <si>
    <t>1.3.6.0.00.0.0.00.00.00</t>
  </si>
  <si>
    <t>Cessão de Direitos</t>
  </si>
  <si>
    <t>1.3.9.0.00.0.0.00.00.00</t>
  </si>
  <si>
    <t>Demais Receitas Patrimoniais</t>
  </si>
  <si>
    <t>1.4.0.0.00.0.0.00.00.00</t>
  </si>
  <si>
    <t>Receita Agropecuária</t>
  </si>
  <si>
    <t>Receita de Serviços</t>
  </si>
  <si>
    <t>1.7.0.0.00.0.0.00.00.00</t>
  </si>
  <si>
    <t>Transferências Correntes</t>
  </si>
  <si>
    <t>1.7.1.0.00.0.0.00.00.00</t>
  </si>
  <si>
    <t>Transferências da União e de suas Entidades</t>
  </si>
  <si>
    <t>1.7.1.8.01.2.0.00.00.00</t>
  </si>
  <si>
    <t>Cota-Parte do Fundo de Participação dos Municípios - Cota Mensal</t>
  </si>
  <si>
    <t>1.7.1.8.01.3.0.00.00.00</t>
  </si>
  <si>
    <t>Cota-Parte do Fundo de Participação do Municípios – 1% Cota entregue no mês de dezembro</t>
  </si>
  <si>
    <t>1.7.1.8.01.4.0.00.00.00</t>
  </si>
  <si>
    <t>Cota-Parte do Fundo de Participação dos Municípios - 1% Cota entregue no mês de julho</t>
  </si>
  <si>
    <t>1.7.1.8.01.5.0.00.00.00</t>
  </si>
  <si>
    <t>Cota-Parte do Imposto Sobre a Propriedade Territorial Rural</t>
  </si>
  <si>
    <t>1.7.1.8.02.0.0.00.00.00</t>
  </si>
  <si>
    <t>Transferência da Compensação Financeira pela Exploração de Recursos Naturais</t>
  </si>
  <si>
    <t>1.7.1.8.03.0.0.00.00.00</t>
  </si>
  <si>
    <t>Transferência de Recursos do Sistema Único de Saúde – SUS – Repasses Fundo a Fundo</t>
  </si>
  <si>
    <t>Transferências de Recursos do Fundo Nacional de Assistência Social – FNAS</t>
  </si>
  <si>
    <t>1.7.1.8.05.0.0.00.00.00</t>
  </si>
  <si>
    <t>Transferências de Recursos do Fundo Nacional do Desenvolvimento da Educação – FNDE</t>
  </si>
  <si>
    <t>1.7.1.8.06.0.0.00.00.00</t>
  </si>
  <si>
    <t>Transferência Financeira do ICMS – Desoneração – L.C. Nº 87/96</t>
  </si>
  <si>
    <t>1.7.1.8.10.0.0.00.00.00</t>
  </si>
  <si>
    <t>Transferências de Convênios da União e de Suas Entidades</t>
  </si>
  <si>
    <t>1.7.2.0.00.0.0.00.00.00</t>
  </si>
  <si>
    <t>Transferências dos Estados e do Distrito Federal e de suas Entidades</t>
  </si>
  <si>
    <t>1.7.2.8.01.1.0.00.00.00</t>
  </si>
  <si>
    <t>Cota-Parte do ICMS</t>
  </si>
  <si>
    <t>1.5.0.0.00.0.0.00.00.00</t>
  </si>
  <si>
    <t>Receita Industrial</t>
  </si>
  <si>
    <t>1.7.2.8.01.2.0.00.00.00</t>
  </si>
  <si>
    <t>Cota-Parte do IPVA</t>
  </si>
  <si>
    <t>1.7.2.8.01.3.0.00.00.00</t>
  </si>
  <si>
    <t>Cota-Parte do IPI - Municípios</t>
  </si>
  <si>
    <t>1.7.2.8.01.4.0.00.00.00</t>
  </si>
  <si>
    <t>Cota-Parte da Contribuição de Intervenção no Domínio Econômico</t>
  </si>
  <si>
    <t>1.7.2.8.01.5.0.00.00.00</t>
  </si>
  <si>
    <t>Outras Participações na Receita dos Estados</t>
  </si>
  <si>
    <t>1.7.2.8.01.9.0.00.00.00</t>
  </si>
  <si>
    <t>Outras Transferências dos Estados</t>
  </si>
  <si>
    <t>1.7.2.8.03.0.0.00.00.00</t>
  </si>
  <si>
    <t>Transferência de Recursos do Estado para Programas de Saúde – Repasse Fundo a Fundo</t>
  </si>
  <si>
    <t>1.7.2.8.10.0.0.00.00.00</t>
  </si>
  <si>
    <t>Transferência de Convênios dos Estados e do Distrito Federal e de Suas Entidades</t>
  </si>
  <si>
    <t>1.7.2.8.99.0.0.00.00.00</t>
  </si>
  <si>
    <t>1.7.3.0.00.0.0.00.00.00</t>
  </si>
  <si>
    <t>Transferências dos Municípios e de suas Entidades</t>
  </si>
  <si>
    <t>1.7.4.0.00.0.0.00.00.00</t>
  </si>
  <si>
    <t>Transferências de Instituições Privadas</t>
  </si>
  <si>
    <t>Transferências de Outras Instituições Públicas</t>
  </si>
  <si>
    <t>1.7.6.0.00.0.0.00.00.00</t>
  </si>
  <si>
    <t>Transferências do Exterior</t>
  </si>
  <si>
    <t>1.7.7.0.00.0.0.00.00.00</t>
  </si>
  <si>
    <t>Transferências de Pessoas Físicas</t>
  </si>
  <si>
    <t>1.9.0.0.00.0.0.00.00.00</t>
  </si>
  <si>
    <t>Outras Receitas Correntes</t>
  </si>
  <si>
    <t>1.9.1.0.00.0.0.00.00.00</t>
  </si>
  <si>
    <t>Multas Administrativas, Contratuais e Judiciais</t>
  </si>
  <si>
    <t>1.9.2.0.00.0.0.00.00.00</t>
  </si>
  <si>
    <t>Indenizações, Restituições e Ressarcimentos</t>
  </si>
  <si>
    <t>1.9.9.0.00.0.0.00.00.00</t>
  </si>
  <si>
    <t>Demais Receitas Correntes</t>
  </si>
  <si>
    <t>1.9.9.0.03.0.0.00.00.00</t>
  </si>
  <si>
    <t>Compensações Financeiras entre o Regime Geral e os Regimes Próprios de Previdência dos Servidores</t>
  </si>
  <si>
    <t>1.9.9.0.06.0.0.00.00.00</t>
  </si>
  <si>
    <t>Contrapartida de Subvenções ou Subsídios</t>
  </si>
  <si>
    <t>1.9.9.0.12.0.0.00.00.00</t>
  </si>
  <si>
    <t>Encargos Legais pela Inscrição em Dívida Ativa e Receitas de Ônus de Sucumbência</t>
  </si>
  <si>
    <t>1.9.9.0.99.0.0.00.00.00</t>
  </si>
  <si>
    <t>2.0.0.0.00.0.0.00.00.00</t>
  </si>
  <si>
    <t>Receitas de Capital</t>
  </si>
  <si>
    <t>2.1.0.0.00.0.0.00.00.00</t>
  </si>
  <si>
    <t>Operações de Crédito</t>
  </si>
  <si>
    <t>2.2.0.0.00.0.0.00.00.00</t>
  </si>
  <si>
    <t>Alienação de Bens</t>
  </si>
  <si>
    <t>2.2.1.0.00.0.0.00.00.00</t>
  </si>
  <si>
    <t>Alienação de Bens Móveis</t>
  </si>
  <si>
    <t>2.2.2.0.00.0.0.00.00.00</t>
  </si>
  <si>
    <t>Alienação de Bens Imóveis</t>
  </si>
  <si>
    <t>2.3.0.0.00.0.0.00.00.00</t>
  </si>
  <si>
    <t>Amortização de Empréstimos</t>
  </si>
  <si>
    <t>2.4.0.0.00.0.0.00.00.00</t>
  </si>
  <si>
    <t>Transferências de Capital</t>
  </si>
  <si>
    <t>2.4.1.0.00.0.0.00.00.00</t>
  </si>
  <si>
    <t>2.4.2.0.00.0.0.00.00.00</t>
  </si>
  <si>
    <t>2.4.3.0.00.0.0.00.00.00</t>
  </si>
  <si>
    <t>2.4.4.0.00.0.0.00.00.00</t>
  </si>
  <si>
    <t>2.4.5.0.00.0.0.00.00.00</t>
  </si>
  <si>
    <t>2.4.6.0.00.0.0.00.00.00</t>
  </si>
  <si>
    <t>2.4.7.0.00.0.0.00.00.00</t>
  </si>
  <si>
    <t>2.9.0.0.00.0.0.00.00.00</t>
  </si>
  <si>
    <t>Outras Receitas de Capital</t>
  </si>
  <si>
    <t>2.9.9.0.00.1.1.01.00.00</t>
  </si>
  <si>
    <t>Outras Receitas Diretamente Arrecadadas pelo RPPS - Principal</t>
  </si>
  <si>
    <t>2.9.9.0.00.1.1.02.00.00</t>
  </si>
  <si>
    <t>Remuneracao de Depósitos Bancários - Principal</t>
  </si>
  <si>
    <t>7.0.0.0.00.0.0.00.00.00</t>
  </si>
  <si>
    <t>8.0.0.0.00.0.0.00.00.00</t>
  </si>
  <si>
    <t>Receitas de Capital Intraorçamentárias</t>
  </si>
  <si>
    <t>9.0.0.0.0.00.0.0.00.00</t>
  </si>
  <si>
    <t>9.1.1.0.0.00.0.0.00.00</t>
  </si>
  <si>
    <t>9.1.7.0.0.00.0.0.00.00</t>
  </si>
  <si>
    <t>Deduções para o FUNDEB</t>
  </si>
  <si>
    <t>9.1.0.0.0.00.0.0.00.00</t>
  </si>
  <si>
    <t>9.2.0.0.0.00.0.0.00.00</t>
  </si>
  <si>
    <t>Pessoal  - Executivo / Indiretes</t>
  </si>
  <si>
    <t>Pessoal  - Legislativo</t>
  </si>
  <si>
    <t>Juros e Encargos da Dívida - Executiv / Indiretas</t>
  </si>
  <si>
    <t>Juros e Encargos da Dívida - Legislativo</t>
  </si>
  <si>
    <t>Outras Despesas Correntes - Executivo</t>
  </si>
  <si>
    <t>Outras Despesas Correntes - Legislativo</t>
  </si>
  <si>
    <t>Outras Despesas Correntes  RPPS</t>
  </si>
  <si>
    <t>Investimentos - Executvi / Indiretas</t>
  </si>
  <si>
    <t>Investimentos - Legislativo</t>
  </si>
  <si>
    <t xml:space="preserve">4.5.90.99.00.00.00 </t>
  </si>
  <si>
    <t>Outras Inversões Financeiras - Executvi / Indiretas</t>
  </si>
  <si>
    <t>Outras Inversões Financeiras - Legislativo</t>
  </si>
  <si>
    <t>Amortização da Dívida  - Executivo / Indiretas</t>
  </si>
  <si>
    <t>Amortização da Dívida  - Legislativo</t>
  </si>
  <si>
    <t>Amortização da Dívida  - RPPS</t>
  </si>
  <si>
    <t>CRESC.REAL DAS TRANSFER CORR DA UNIÃO</t>
  </si>
  <si>
    <t>CRESC.REAL DAS TRANSFER CORR DO ESTADO</t>
  </si>
  <si>
    <t>PERCENTUAL DE AUMENTO SALARIAL - EXECUTVO</t>
  </si>
  <si>
    <t>PERCENTUAL DE AUMENTO SALARIAL - LEGISLATIVO</t>
  </si>
  <si>
    <t>Contribuição para o Regime Próprio de Previdência Social - RPPS (dos servidores)</t>
  </si>
  <si>
    <t>% RCL</t>
  </si>
  <si>
    <t>II - DEDUÇÕES</t>
  </si>
  <si>
    <t>Contribuições Previdenciárias do Regime Próprio</t>
  </si>
  <si>
    <t>Compensação Financeira entre Regimes</t>
  </si>
  <si>
    <t>I - RECEITAS CORRENTES (Exceto Intraorçamentárias)</t>
  </si>
  <si>
    <t>1.1.1.3.03.1.1.01.00.00</t>
  </si>
  <si>
    <t>1.1.1.3.03.1.1.02.00.00</t>
  </si>
  <si>
    <t xml:space="preserve"> Demais Impostos</t>
  </si>
  <si>
    <t>IRRF s/Rend.Trabalho - Principal - Ativos/Inativos do Poder Executivo/Indiretas</t>
  </si>
  <si>
    <t>IRRF s/Rend.Trabalho - Principal - Ativos/Inativos do Poder Legislativo</t>
  </si>
  <si>
    <t xml:space="preserve">Deduções da Receita Corrente </t>
  </si>
  <si>
    <t>1.7.5.8.01.1.1.00.00.00</t>
  </si>
  <si>
    <t>Transferências de Recursos do FUNDEB - Principal</t>
  </si>
  <si>
    <t>Rendimentos de Aplicações de Rec.Previdenciários</t>
  </si>
  <si>
    <t>RECEITAS CORRENTES (I)</t>
  </si>
  <si>
    <t>Receitas Imobiliárias</t>
  </si>
  <si>
    <t>Receitas de Valores Mobiliários</t>
  </si>
  <si>
    <t>Outras Receitas Patrimoniais</t>
  </si>
  <si>
    <t>Alienação de Bens, Direitos e Ativos</t>
  </si>
  <si>
    <t>Aposentadorias</t>
  </si>
  <si>
    <t>Pensões</t>
  </si>
  <si>
    <t>Outras Despesas Previdenciárias</t>
  </si>
  <si>
    <t>Demais Despesas Previdenciárias</t>
  </si>
  <si>
    <t>RECURSOS RPPS ARRECADADOS EM EXERCÍCIOS ANTERIORES</t>
  </si>
  <si>
    <t>VALOR</t>
  </si>
  <si>
    <t>Plano de Amortização - Contribuição Patronal Suplementar</t>
  </si>
  <si>
    <t>Plano de Amortização - Aporte Periódico de Valores Predefinidos</t>
  </si>
  <si>
    <t>Outros Aportes para o RPPS</t>
  </si>
  <si>
    <t>Recursos para Cobertura de Déficit Financeiro</t>
  </si>
  <si>
    <t>Caixa e Equivalentes de Caixa</t>
  </si>
  <si>
    <t>Investimentos e Aplicações</t>
  </si>
  <si>
    <t>Receita de Contribuições dos Segurados</t>
  </si>
  <si>
    <t>Receita de Contribuições Patronais</t>
  </si>
  <si>
    <t>Recursos para Cobertura de Insuficiências Financeiras</t>
  </si>
  <si>
    <t>Recursos para Formação de Reserva</t>
  </si>
  <si>
    <t>Limite Máximo Legal   -  54 % da  RCL (alínea “b” do inciso III do artigo 20 da LRF)</t>
  </si>
  <si>
    <t>Limite Prudencial - 51,30 % da RCL (parágrafo único do artigo 22 daLRF)</t>
  </si>
  <si>
    <t>Limite de Alerta - 48,60 % da RCL (inciso II do § 1º do artigo 59 da LRF)</t>
  </si>
  <si>
    <t>PODER EXECUTIVO</t>
  </si>
  <si>
    <t xml:space="preserve">PODER LEGISLATIVO </t>
  </si>
  <si>
    <t>Limite Máximo Legal   -  6 % da  RCL (alínea “b” do inciso III do artigo 20 da LRF)</t>
  </si>
  <si>
    <t>Limite Prudencial - 5,70 % da RCL (parágrafo único do artigo 22 daLRF)</t>
  </si>
  <si>
    <t>Limite de Alerta -  5,40 % da RCL (inciso II do § 1º do artigo 59 da LRF)</t>
  </si>
  <si>
    <t>2.2 Encargos - Exceto RPPS</t>
  </si>
  <si>
    <t>2.3 Amortizações - Exceto RPPS</t>
  </si>
  <si>
    <t>METAS ANUAIS - RPPS</t>
  </si>
  <si>
    <t xml:space="preserve">AVALIAÇÃO DO CUMPRIMENTO DAS METAS FISCAIS   DO EXERCÍCIO ANTERIOR                            </t>
  </si>
  <si>
    <t>EVOLUÇÃO DO PATRIMÔNIO LÍQUIDO</t>
  </si>
  <si>
    <t>ORIGEM E APLICAÇÃO DOS RECURSOS OBTIDOS COM A ALIENAÇÃO DE ATIVOS</t>
  </si>
  <si>
    <t>ESTIMATIVA E COMPENSAÇÃO DA RENÚNCIA DE RECEITA</t>
  </si>
  <si>
    <t xml:space="preserve">MARGEM DE EXPANSÃO DAS DESPESAS OBRIGATÓRIAS DE CARÁTER CONTINUADO  </t>
  </si>
  <si>
    <t>AMF - Demonstrativo 8 (LRF, art. 4°, § 2°, inciso V)</t>
  </si>
  <si>
    <t>AMF - Demonstrativo 7 (LRF, art. 4°, § 2°, inciso V)</t>
  </si>
  <si>
    <t>AMF - Demonstrativo 5 (LRF, art.4º, §2º, inciso III)</t>
  </si>
  <si>
    <t>AMF - Demonstrativo 4 (LRF, art.4º, §2º, inciso III)</t>
  </si>
  <si>
    <t>AMF – Demonstrativo 3 (LRF, art.4º, §2º, inciso II)</t>
  </si>
  <si>
    <t>AMF - Demonstrativo 2 (LRF, art. 4º, §2º, inciso I)</t>
  </si>
  <si>
    <t>AMF - Demonstrativo 1 (LRF, art. 4º, § 1º)</t>
  </si>
  <si>
    <t>Indicador</t>
  </si>
  <si>
    <t>PAGA</t>
  </si>
  <si>
    <t>PAGA(Estim)</t>
  </si>
  <si>
    <t>TOTAL DAS RECEITAS ARRECADADAS</t>
  </si>
  <si>
    <t>RECEITAS PRIMÁRIAS</t>
  </si>
  <si>
    <t>Arrecadação</t>
  </si>
  <si>
    <t>Projeção</t>
  </si>
  <si>
    <t>(-)  Aplicações Financeiras em Geral</t>
  </si>
  <si>
    <t>(-) Aplicações Financeiras do RPPS</t>
  </si>
  <si>
    <t>(-) Outras Receitas Financeiras</t>
  </si>
  <si>
    <t>(-)  Operações de Crédito</t>
  </si>
  <si>
    <t>(-) Amortização de Empréstimos</t>
  </si>
  <si>
    <t>(-) Alienação de Investimentos Temporários e Permanentes</t>
  </si>
  <si>
    <t>(-) Outras Receitas de Capital -  Não Primárias</t>
  </si>
  <si>
    <t>1.6.0.0.00.0.0.00.00</t>
  </si>
  <si>
    <t>Demais Serviços</t>
  </si>
  <si>
    <t>1.6.4.0.01.1.0.00.00 + 1.6.4.0.03.1.0.00.00</t>
  </si>
  <si>
    <t>Retorno de Operações -  Juros e Encargos Financeiros / Rem. s/Repasse para Programas de Desenv.Econômico</t>
  </si>
  <si>
    <t>1.9.2.2.01.2.0.00.00</t>
  </si>
  <si>
    <t>Restituição de Convênios -  Financeiras</t>
  </si>
  <si>
    <t>1.9.2.0.00.0.0.00.00</t>
  </si>
  <si>
    <t>Outras Indenizações, Restituições e Ressarcimentos</t>
  </si>
  <si>
    <t>1.9.9.0.1.1.1.0.00.00.00</t>
  </si>
  <si>
    <t>Variação Cambial</t>
  </si>
  <si>
    <t>1.9.9.0.99.2.0.00.00.00</t>
  </si>
  <si>
    <t>Outras Receitas Financeiras</t>
  </si>
  <si>
    <t>Outras Receitas (demais receitas diversas)</t>
  </si>
  <si>
    <t xml:space="preserve">2.2.1.8.01.1.0.00.00.00 </t>
  </si>
  <si>
    <t>Alienação de Investimentos Temporários</t>
  </si>
  <si>
    <t>2.2.1.8.01.2.0.00.00.00</t>
  </si>
  <si>
    <t>Alienação de Investimenros Permanentes</t>
  </si>
  <si>
    <t>DESPESAS PRIMÁRIAS</t>
  </si>
  <si>
    <t>(-)  Juros e Encargos da Dívida</t>
  </si>
  <si>
    <t>(-)  Concessão e Empréstimos e Financiamentos</t>
  </si>
  <si>
    <t>(-) Aquisição de Títulos de Crédito</t>
  </si>
  <si>
    <t>(-) Amortização da Dívida</t>
  </si>
  <si>
    <t>(=) Receitas Primárias Correntes  (I)</t>
  </si>
  <si>
    <t>(=) Receitas Primárias de Capital (II)</t>
  </si>
  <si>
    <t>RECEITAS PRIMÁRIAS TOTAIS (III = I + II)</t>
  </si>
  <si>
    <t>(=) Despesas Primárias Correntes (IV)</t>
  </si>
  <si>
    <t>(=) Despesas Primárias de Capital (V)</t>
  </si>
  <si>
    <t>Pagamento</t>
  </si>
  <si>
    <t>Pagto Estimado</t>
  </si>
  <si>
    <t>JUROS E ENCARGOS ATIVOS (Variações Patrimoniais Aumentativas)</t>
  </si>
  <si>
    <t>4.4.1.1.1.00.00 - Juros e Encargos de Empréstimos Internos Concedidos – Consolidação</t>
  </si>
  <si>
    <t>4.4.1.1.3.00.00 - Juros e Encargos de Empréstimos Internos Concedidos - Inter Ofss – União</t>
  </si>
  <si>
    <t>4.4.1.1.4.00.00 - Juros e Encargos de Empréstimos Internos Concedidos - Inter Ofss -Estado</t>
  </si>
  <si>
    <t>4.4.1.1.5.00.00 - Juros e Encargos de Empréstimos Internos Concedidos - Inter Ofss – Município</t>
  </si>
  <si>
    <t>4.4.1.2.1.00.00 - Juros e Encargos de Empréstimos Externos Concedidos – Consolidação</t>
  </si>
  <si>
    <t>4.4.1.3.1.00.00 - Juros e Encargos de Financiamentos Internos Concedidos – Consolidação</t>
  </si>
  <si>
    <t>4.4.1.3.3.00.00 - Juros e Encargos de Financiamentos Internos Concedidos - Inter Ofss – União</t>
  </si>
  <si>
    <t>4.4.1.3.4.00.00 - Juros e Encargos de Financiamentos Internos Concedidos - Inter Ofss – Estado</t>
  </si>
  <si>
    <t>4.4.1.3.5.00.00 - Juros e Encargos de Financiamentos Internos Concedidos - Inter Ofss – Município</t>
  </si>
  <si>
    <t>4.4.1.4.1.00.00 - Juros e Encargos de Financiamentos Externos Concedidos – Consolidação</t>
  </si>
  <si>
    <t>4.4.2.1.1.00.00 - Juros e Encargos de Mora Sobre Empréstimos e Financiamentos Internos Concedidos – Consolidação</t>
  </si>
  <si>
    <t>4.4.2.1.3.00.00 - Juros e Encargos de Mora Sobre Empréstimos e Financiamentos Internos Concedidos - Inter Ofss – União</t>
  </si>
  <si>
    <t>4.4.2.1.4.00.00 - Juros e Encargos de Mora Sobre Empréstimos e Financiamentos Internos Concedidos - Inter Ofss - Estado</t>
  </si>
  <si>
    <t>4.4.2.1.5.00.00 - Juros e Encargos ee Mora Sobre Empréstimos e Financiamentos Internos Concedidos - Inter Ofss - Município</t>
  </si>
  <si>
    <t>4.4.2.2.1.00.00 - Juros e Encargos de Mora Sobre Empréstimos e Financiamentos Externos Concedidos - Consolidação</t>
  </si>
  <si>
    <t>4.4.5.1.1.00.00 - Remuneração de Depósitos Bancários - Consolidação</t>
  </si>
  <si>
    <t>4.4.5.2.1.00.00 - Remuneração de Aplicações Financeiras - Consolidação</t>
  </si>
  <si>
    <t>JUROS E ENCARGOS PASSIVOS (Variações Patrimoniais Diminutivas)</t>
  </si>
  <si>
    <t>3.4.1.1.1.00.00 - Juros e Encargos da Dívida Contratual Interna - Consolidação</t>
  </si>
  <si>
    <t>3.4.1.1.3.00.00 - Juros e Encargos da Dívida Contratual Interna - Inter Ofss - União</t>
  </si>
  <si>
    <t>3.4.1.1.4.00.00 - Juros e Encargos da Dívida Contratual Interna - Inter Ofss - Estado</t>
  </si>
  <si>
    <t>3.4.1.1.5.00.00 - Juros e Encargos da Dívida Contratual Interna - Inter Ofss - Município</t>
  </si>
  <si>
    <t>3.4.1.2.1.00.00 - Juros e Encargos da Dívida Contratual Externa - Consolidação</t>
  </si>
  <si>
    <t>3.4.1.3.1.00.00 - Juros e Encargos da Dívida Mobiliaria - Consolidação</t>
  </si>
  <si>
    <t>3.4.1.4.1.00.00 - Juros e Encargos de Empréstimos por Antecipação de Receita Orçamentária – Consolidação</t>
  </si>
  <si>
    <t>3.4.1.8.1.00.00 - Outros Juros e Encargos de Empréstimos e Financiamentos Internos – Consolidação</t>
  </si>
  <si>
    <t>3.4.1.8.3.00.00 - Outros Juros e Encargos de Empréstimos e Financiamentos Internos - Inter Ofss – União</t>
  </si>
  <si>
    <t>3.4.1.8.4.00.00 - Outros Juros e Encargos de Empréstimos e Financiamentos Internos - Inter Ofss – Estado</t>
  </si>
  <si>
    <t>3.4.1.8.5.00.00 - Outros Juros e Encargos de Empréstimos e Financiamentos Internos - Inter Ofss - Município</t>
  </si>
  <si>
    <t>3.4.1.9.1.00.00 - Outros Juros e Encargos de Empréstimos e Financiamentos Externos - Consolidação</t>
  </si>
  <si>
    <t>3.4.2.1.1.00.00 - Juros e Encargos de Mora de Empréstimos e Financiamentos Internos Obtidos - Consolidação</t>
  </si>
  <si>
    <t>3.4.2.1.3.00.00 - Juros e Encargos de Mora de Empréstimos e Financiamentos Internos Obtidos - Inter Ofss - União</t>
  </si>
  <si>
    <t>3.4.2.1.4.00.00 - Juros e Encargos de Mora de Empréstimos e Financiamentos Internos Obtidos - Inter Ofss - Estado</t>
  </si>
  <si>
    <t>3.4.2.1.5.00.00 -  Juros e Encargos de Mora de Empréstimos e Financiamentos Internos Obtidos - Inter Ofss - Município</t>
  </si>
  <si>
    <t>3.4.2.2.1.00.00 - Juros e Encargos de Mora de Empréstimos e Financiamentos Externos Obtidos - Consolidação</t>
  </si>
  <si>
    <t xml:space="preserve">    Dívida Mobiliária</t>
  </si>
  <si>
    <t xml:space="preserve">    Dívida Contratual (inclusive parcelamentos)</t>
  </si>
  <si>
    <t xml:space="preserve">    Precatórios posteriores a 05-05-2000</t>
  </si>
  <si>
    <t xml:space="preserve"> DÍVIDA CONSOLIDADA (I)</t>
  </si>
  <si>
    <t>DISPONIBILIDADES DE CAIXA (II)</t>
  </si>
  <si>
    <t xml:space="preserve">   Disponibilidade da Caixa Bruta</t>
  </si>
  <si>
    <t xml:space="preserve">   (-) Restos a Pagar Processados</t>
  </si>
  <si>
    <t>DIVIDA CONSOLIDADA LÍQUIDA (III = I - II)</t>
  </si>
  <si>
    <t xml:space="preserve">   Demais Haveres Financeiros</t>
  </si>
  <si>
    <t>Previsão (Saldo Médio)</t>
  </si>
  <si>
    <t>Cronograma Anual de Operações de Crédito e  de Amortização e Serviço da Dívida</t>
  </si>
  <si>
    <r>
      <t>( R ) Deduções da Receita</t>
    </r>
    <r>
      <rPr>
        <b/>
        <sz val="10"/>
        <color indexed="10"/>
        <rFont val="Arial"/>
        <family val="2"/>
      </rPr>
      <t xml:space="preserve"> </t>
    </r>
  </si>
  <si>
    <r>
      <t>Deduções da Receita de Impostos</t>
    </r>
    <r>
      <rPr>
        <sz val="10"/>
        <color indexed="10"/>
        <rFont val="Arial"/>
        <family val="2"/>
      </rPr>
      <t xml:space="preserve"> (digitar com sinal negativo)</t>
    </r>
  </si>
  <si>
    <r>
      <t>Demais Deduções da Receita de Capital</t>
    </r>
    <r>
      <rPr>
        <sz val="10"/>
        <color indexed="10"/>
        <rFont val="Arial"/>
        <family val="2"/>
      </rPr>
      <t xml:space="preserve"> (digitar com sinal negativo)</t>
    </r>
  </si>
  <si>
    <t>Receitas Correntes Intraorçamentárias</t>
  </si>
  <si>
    <t>Receitas Correntes - Exceto Intraorçamentárias</t>
  </si>
  <si>
    <t>Receitas de Capital - Exceto Intraorçamentárias</t>
  </si>
  <si>
    <t>Despesas Correntes - Exceto Intraorçamentárias</t>
  </si>
  <si>
    <t>Despesas de Capital - Exceto Intraorçamentárias</t>
  </si>
  <si>
    <t>3.1.91.00.00.00.00</t>
  </si>
  <si>
    <t>3.2.91.00.00.00.00</t>
  </si>
  <si>
    <t>3.3.91.00.00.00.00</t>
  </si>
  <si>
    <t>4.4.91.00.00.00.00</t>
  </si>
  <si>
    <t xml:space="preserve">4.5.91.00.00.00.00 </t>
  </si>
  <si>
    <t>4.6.91.00.00.00.00</t>
  </si>
  <si>
    <t/>
  </si>
  <si>
    <t>(-) Aquisiç. De Títulos de Capital Já Integralizado</t>
  </si>
  <si>
    <r>
      <t>Despesas Com Pessoal  -</t>
    </r>
    <r>
      <rPr>
        <b/>
        <sz val="12"/>
        <color indexed="10"/>
        <rFont val="Arial"/>
        <family val="2"/>
      </rPr>
      <t xml:space="preserve"> INTRAORÇAMENTÁRIAS</t>
    </r>
  </si>
  <si>
    <r>
      <t xml:space="preserve">Juros e encargos da Dívida - </t>
    </r>
    <r>
      <rPr>
        <b/>
        <sz val="12"/>
        <color indexed="10"/>
        <rFont val="Arial"/>
        <family val="2"/>
      </rPr>
      <t>INTRAORÇAMENTÁRIAS</t>
    </r>
  </si>
  <si>
    <r>
      <t xml:space="preserve">Outras Despesas Correntes - </t>
    </r>
    <r>
      <rPr>
        <b/>
        <sz val="12"/>
        <color indexed="10"/>
        <rFont val="Arial"/>
        <family val="2"/>
      </rPr>
      <t>INTRAORÇAMENTÁRIAS</t>
    </r>
  </si>
  <si>
    <r>
      <t xml:space="preserve">Inversões Financeiras - </t>
    </r>
    <r>
      <rPr>
        <b/>
        <sz val="12"/>
        <color indexed="10"/>
        <rFont val="Arial"/>
        <family val="2"/>
      </rPr>
      <t>INTRAORÇAMENTÁRIAS</t>
    </r>
  </si>
  <si>
    <r>
      <t xml:space="preserve">Amortização da Dívida  - </t>
    </r>
    <r>
      <rPr>
        <b/>
        <sz val="12"/>
        <color indexed="10"/>
        <rFont val="Arial"/>
        <family val="2"/>
      </rPr>
      <t>INTRAORÇAMENTÁRIAS</t>
    </r>
  </si>
  <si>
    <t xml:space="preserve">TOTAL DAS DESPESAS </t>
  </si>
  <si>
    <t>RESULTADO ORÇAMENTÁRIO / RESERVA - SEM RPPS</t>
  </si>
  <si>
    <t>RESULTADO ORÇAMENTÁRIO / RESERVA DO RPPS</t>
  </si>
  <si>
    <t xml:space="preserve">   </t>
  </si>
  <si>
    <t>RECEITAS DE CAPITAL</t>
  </si>
  <si>
    <t xml:space="preserve">    ALIENAÇÃO DE ATIVOS </t>
  </si>
  <si>
    <t xml:space="preserve">        Alienação de Bens Intangíveis</t>
  </si>
  <si>
    <t xml:space="preserve">TOTAL </t>
  </si>
  <si>
    <t>APLICAÇÃO DOS RECURSOS DA ALIENAÇÃO DE ATIVOS</t>
  </si>
  <si>
    <r>
      <rPr>
        <b/>
        <sz val="9"/>
        <color indexed="10"/>
        <rFont val="Arial"/>
        <family val="2"/>
      </rPr>
      <t xml:space="preserve">TABELA  01 </t>
    </r>
    <r>
      <rPr>
        <b/>
        <sz val="9"/>
        <rFont val="Arial"/>
        <family val="2"/>
      </rPr>
      <t>- Parâmentos Utilizados nas Estimativas das Receitas e Despesas</t>
    </r>
  </si>
  <si>
    <r>
      <rPr>
        <b/>
        <sz val="12"/>
        <color indexed="10"/>
        <rFont val="Arial"/>
        <family val="2"/>
      </rPr>
      <t xml:space="preserve">Tabela 02 </t>
    </r>
    <r>
      <rPr>
        <b/>
        <sz val="12"/>
        <rFont val="Arial"/>
        <family val="2"/>
      </rPr>
      <t>- Memória de Cálculo das Estimativas das Receitas</t>
    </r>
  </si>
  <si>
    <r>
      <rPr>
        <b/>
        <sz val="8"/>
        <color indexed="10"/>
        <rFont val="Times New Roman"/>
        <family val="1"/>
      </rPr>
      <t xml:space="preserve">TABELA 05 </t>
    </r>
    <r>
      <rPr>
        <b/>
        <sz val="8"/>
        <rFont val="Times New Roman"/>
        <family val="1"/>
      </rPr>
      <t xml:space="preserve">- Demonstrativo da Evolução da Dívida Consolidada Líquida </t>
    </r>
  </si>
  <si>
    <r>
      <rPr>
        <b/>
        <sz val="11"/>
        <color indexed="10"/>
        <rFont val="Calibri"/>
        <family val="2"/>
      </rPr>
      <t>TABELA 06 -</t>
    </r>
    <r>
      <rPr>
        <b/>
        <sz val="11"/>
        <rFont val="Calibri"/>
        <family val="2"/>
      </rPr>
      <t xml:space="preserve"> Demonstrativo da  Memória de Cálculo do Resultado Primário e Nominal  -  ACIMA DA LINHA</t>
    </r>
  </si>
  <si>
    <r>
      <t>Memória de Cálculo das Estimativas de</t>
    </r>
    <r>
      <rPr>
        <b/>
        <sz val="12"/>
        <color indexed="10"/>
        <rFont val="Arial"/>
        <family val="2"/>
      </rPr>
      <t xml:space="preserve"> Pagamento das Despesas</t>
    </r>
    <r>
      <rPr>
        <b/>
        <sz val="12"/>
        <rFont val="Arial"/>
        <family val="2"/>
      </rPr>
      <t xml:space="preserve"> - Inclusive Restos a Pagar</t>
    </r>
  </si>
  <si>
    <t>Taxa de Câmbio (Média do Ano)</t>
  </si>
  <si>
    <r>
      <t xml:space="preserve">Receitas Correntes Intraorçamentárias </t>
    </r>
    <r>
      <rPr>
        <b/>
        <sz val="10"/>
        <color indexed="10"/>
        <rFont val="Arial"/>
        <family val="2"/>
      </rPr>
      <t>-RPPS</t>
    </r>
  </si>
  <si>
    <r>
      <t xml:space="preserve">Receitas Correntes Intraorçamentárias </t>
    </r>
    <r>
      <rPr>
        <b/>
        <sz val="10"/>
        <color indexed="10"/>
        <rFont val="Arial"/>
        <family val="2"/>
      </rPr>
      <t>- Outras</t>
    </r>
  </si>
  <si>
    <r>
      <t xml:space="preserve">Receitas de Capital Intraorçamentárias </t>
    </r>
    <r>
      <rPr>
        <b/>
        <sz val="10"/>
        <color indexed="10"/>
        <rFont val="Arial"/>
        <family val="2"/>
      </rPr>
      <t>- RPPS</t>
    </r>
  </si>
  <si>
    <r>
      <t xml:space="preserve">Receitas de Capital Intraorçamentárias </t>
    </r>
    <r>
      <rPr>
        <b/>
        <sz val="10"/>
        <color indexed="10"/>
        <rFont val="Arial"/>
        <family val="2"/>
      </rPr>
      <t>- Outras</t>
    </r>
  </si>
  <si>
    <t>RESERVA DE CONTINGÊNCIA - PREVISÃO (VII)</t>
  </si>
  <si>
    <t>DESPESAS PRIMÁRIAS ANTES DA RESERVA DE CONTINGÊNCIA (VI = IV + V)</t>
  </si>
  <si>
    <t>DESPESAS PRIMÁRIAS APÓS A RESERVA DE CONTINGÊNCIA (VIII = VI+ VII)</t>
  </si>
  <si>
    <t>META DE RESULTADO PRIMÁRIO A SER CONSIDERADA (IX = III - VIII)</t>
  </si>
  <si>
    <t>1.7.1.8.99.0.0.00.00.00</t>
  </si>
  <si>
    <t>Outras Transferências da União</t>
  </si>
  <si>
    <r>
      <t xml:space="preserve">Remuneração dos Recursos do Regime Próprio de Previdência Social - RPPS  </t>
    </r>
    <r>
      <rPr>
        <sz val="10"/>
        <color indexed="10"/>
        <rFont val="Arial"/>
        <family val="2"/>
      </rPr>
      <t>(Valor Líquido Arrecadado)</t>
    </r>
  </si>
  <si>
    <r>
      <t xml:space="preserve">Demais Dedu.da Receita Corrente - </t>
    </r>
    <r>
      <rPr>
        <b/>
        <sz val="10"/>
        <color indexed="10"/>
        <rFont val="Arial"/>
        <family val="2"/>
      </rPr>
      <t>Exceto Rend Negativo do RPPS</t>
    </r>
    <r>
      <rPr>
        <sz val="10"/>
        <rFont val="Arial"/>
        <family val="2"/>
      </rPr>
      <t xml:space="preserve"> </t>
    </r>
    <r>
      <rPr>
        <sz val="10"/>
        <color indexed="10"/>
        <rFont val="Arial"/>
        <family val="2"/>
      </rPr>
      <t xml:space="preserve"> (digitar com sinal negativo)</t>
    </r>
  </si>
  <si>
    <r>
      <rPr>
        <b/>
        <sz val="10"/>
        <color indexed="10"/>
        <rFont val="Arial"/>
        <family val="2"/>
      </rPr>
      <t>Tabela 03 -</t>
    </r>
    <r>
      <rPr>
        <b/>
        <sz val="10"/>
        <color indexed="8"/>
        <rFont val="Arial"/>
        <family val="2"/>
      </rPr>
      <t xml:space="preserve"> Estimativas para a Receita Corrente Líquida</t>
    </r>
  </si>
  <si>
    <t>IV - RECEITA CORRENTE LÍQUIDA PREVISTA (I-II+III)</t>
  </si>
  <si>
    <t>(a / RCL)</t>
  </si>
  <si>
    <t>(b / RCL)</t>
  </si>
  <si>
    <t>(c / RCL)</t>
  </si>
  <si>
    <t xml:space="preserve"> Receita Total</t>
  </si>
  <si>
    <t xml:space="preserve"> Receitas Primárias (I)</t>
  </si>
  <si>
    <t xml:space="preserve"> Receitas Primárias Correntes</t>
  </si>
  <si>
    <t xml:space="preserve"> Impostos, Taxas e Contribuições de Melhoria</t>
  </si>
  <si>
    <t xml:space="preserve"> Contribuições</t>
  </si>
  <si>
    <t xml:space="preserve"> Transferências Correntes</t>
  </si>
  <si>
    <t xml:space="preserve"> Demais Receitas Primárias Correntes</t>
  </si>
  <si>
    <t xml:space="preserve"> Receitas Primárias de Capital</t>
  </si>
  <si>
    <t xml:space="preserve"> Pessoal e Encargos Sociais</t>
  </si>
  <si>
    <t xml:space="preserve"> Despesas Primárias de Capital</t>
  </si>
  <si>
    <t xml:space="preserve"> Pagamento de Restos a Pagar de Despesas Primárias</t>
  </si>
  <si>
    <t xml:space="preserve"> Resultado Primário (III) = (I – II)</t>
  </si>
  <si>
    <t xml:space="preserve"> Juros, Encargos e Variações Monetárias Ativos (IV)</t>
  </si>
  <si>
    <t xml:space="preserve"> Juros, Encargos e Variações Monetárias Passivos (V)</t>
  </si>
  <si>
    <t xml:space="preserve"> Resultado Nominal - (VI) = (III + (IV - V))</t>
  </si>
  <si>
    <t xml:space="preserve"> Dívida Consolidada Líquida</t>
  </si>
  <si>
    <t>Receitas Primárias advindas de PPP (VII)</t>
  </si>
  <si>
    <t>Despesas Primárias geradas por PPP (VIII)</t>
  </si>
  <si>
    <t>Impacto do saldo das PPPs (IX) = (VII - VIII)</t>
  </si>
  <si>
    <t xml:space="preserve"> Outras Despesas Correntes (Primárias)</t>
  </si>
  <si>
    <t>RECEITAS DE CAPITAL (III)</t>
  </si>
  <si>
    <t>RECEITAS CORRENTES (VII)</t>
  </si>
  <si>
    <t>RECEITAS DE CAPITAL (VIII)</t>
  </si>
  <si>
    <t>RECEITAS DA ADMINISTRAÇÃO - RPPS</t>
  </si>
  <si>
    <t>TOTAL DAS RECEITAS DA ADMINISTRAÇÃO RPPS - (XII)</t>
  </si>
  <si>
    <t>DESPESAS DA ADMINISTRAÇÃO - RPPS</t>
  </si>
  <si>
    <t>TOTAL DAS DESPESAS DA ADMINISTRAÇÃO RPPS (XV) = (XIII + XIV)</t>
  </si>
  <si>
    <r>
      <t xml:space="preserve">Pessoal   - </t>
    </r>
    <r>
      <rPr>
        <b/>
        <sz val="12"/>
        <color indexed="10"/>
        <rFont val="Arial"/>
        <family val="2"/>
      </rPr>
      <t>Restos a Pagar Pagos</t>
    </r>
  </si>
  <si>
    <r>
      <t xml:space="preserve">Juros e encargos da Dívida - </t>
    </r>
    <r>
      <rPr>
        <b/>
        <sz val="12"/>
        <color indexed="10"/>
        <rFont val="Arial"/>
        <family val="2"/>
      </rPr>
      <t xml:space="preserve">Restos a Pagar Pagos </t>
    </r>
  </si>
  <si>
    <r>
      <t>Outras Despesas Correntes  -</t>
    </r>
    <r>
      <rPr>
        <b/>
        <sz val="12"/>
        <color indexed="10"/>
        <rFont val="Arial"/>
        <family val="2"/>
      </rPr>
      <t xml:space="preserve"> Restos a Pagar Pagos</t>
    </r>
  </si>
  <si>
    <t xml:space="preserve">Investimentos  RPPS </t>
  </si>
  <si>
    <r>
      <t xml:space="preserve">Investimentos  - </t>
    </r>
    <r>
      <rPr>
        <b/>
        <sz val="12"/>
        <color indexed="10"/>
        <rFont val="Arial"/>
        <family val="2"/>
      </rPr>
      <t>INTRAORÇAMENTÁRIAS</t>
    </r>
  </si>
  <si>
    <r>
      <t xml:space="preserve">Investimentos  - </t>
    </r>
    <r>
      <rPr>
        <b/>
        <sz val="12"/>
        <color indexed="10"/>
        <rFont val="Arial"/>
        <family val="2"/>
      </rPr>
      <t>Restos a Pagar Pagos</t>
    </r>
  </si>
  <si>
    <r>
      <t xml:space="preserve">Outras Inversões Financeiras - </t>
    </r>
    <r>
      <rPr>
        <b/>
        <sz val="12"/>
        <color indexed="10"/>
        <rFont val="Arial"/>
        <family val="2"/>
      </rPr>
      <t>Restos a a  Pagar Pagos</t>
    </r>
  </si>
  <si>
    <r>
      <t xml:space="preserve">Amortização da Dívida  - </t>
    </r>
    <r>
      <rPr>
        <b/>
        <sz val="12"/>
        <color indexed="10"/>
        <rFont val="Arial"/>
        <family val="2"/>
      </rPr>
      <t>Restos a Pagar Pagos</t>
    </r>
  </si>
  <si>
    <t>Reserva de Contingência (II-a)</t>
  </si>
  <si>
    <t xml:space="preserve"> Despesas Primárias Correntes</t>
  </si>
  <si>
    <t xml:space="preserve"> Despesas Primárias (II + IIa)</t>
  </si>
  <si>
    <t>Inflação para 2024:</t>
  </si>
  <si>
    <t>Obs:  1 -   Os valores da renúncia para 2022 foram previstos de acordo com informações da Administração tributária</t>
  </si>
  <si>
    <t>1.7.1.8.12.0.0.00.00.00</t>
  </si>
  <si>
    <t>1.2.1.8.01.0.0.00.00.00</t>
  </si>
  <si>
    <r>
      <t>Contribuições Sociais específicas de Estados, DF, Municípios (</t>
    </r>
    <r>
      <rPr>
        <sz val="10"/>
        <color indexed="10"/>
        <rFont val="Arial"/>
        <family val="2"/>
      </rPr>
      <t>Exceto para o RPPS</t>
    </r>
    <r>
      <rPr>
        <sz val="10"/>
        <rFont val="Arial"/>
        <family val="2"/>
      </rPr>
      <t>)</t>
    </r>
  </si>
  <si>
    <t>SOMA  DOS JUROS E ENCARGOS ATIVOS  (X)</t>
  </si>
  <si>
    <t>SOMA  DOS JUROS E ENCARGOS PASSIVOS (XI)</t>
  </si>
  <si>
    <t>RESULTADO NOMINAL  -  ACIMA DA LINHA (XII = IX + X - XI)</t>
  </si>
  <si>
    <t>METAS ANUAIS  -VALORES ATUALIZADOS PELA LOA</t>
  </si>
  <si>
    <t>LEI DE DIRETRIZES ORÇAMENTÁRIAS  PARA 2023</t>
  </si>
  <si>
    <t>Apuração Conforme a Instrução Normativa nº 18/2021, do TCE/RS</t>
  </si>
  <si>
    <t>Outras deduções</t>
  </si>
  <si>
    <t>V - Receita Corrente Líquida para Fins de Endividamento</t>
  </si>
  <si>
    <t>VI - Receita Corrente Líquida p/Despesas com Pessoal</t>
  </si>
  <si>
    <t>Lei de Diretrizes Orçamentárias para o Exercício de 2023</t>
  </si>
  <si>
    <r>
      <rPr>
        <b/>
        <sz val="11"/>
        <color indexed="10"/>
        <rFont val="Arial"/>
        <family val="2"/>
      </rPr>
      <t>Tabela 04 -</t>
    </r>
    <r>
      <rPr>
        <b/>
        <sz val="11"/>
        <color indexed="8"/>
        <rFont val="Arial"/>
        <family val="2"/>
      </rPr>
      <t xml:space="preserve"> Estimativa de Limites de Gastos com Pessoal do Poder Executivo e Legislativo para o período de 2023 a 2025</t>
    </r>
  </si>
  <si>
    <t>LEI DE DIRETRIZES ORÇAMENTÁRIAS PARA 2023</t>
  </si>
  <si>
    <t>Previsão de comprometimento da RCL com a Dívida Consolidada Líquida</t>
  </si>
  <si>
    <t>EXERCÍO DE 2023</t>
  </si>
  <si>
    <t>Preenchimento Opcional Cfe. Item 02.01.03.01 da 12ª Edição do MDF</t>
  </si>
  <si>
    <t>EXERCÍCIO DE 2023</t>
  </si>
  <si>
    <t>Preenchimento Opcional Cfe 12ª Edição do MDF</t>
  </si>
  <si>
    <t>2021 (a)</t>
  </si>
  <si>
    <t>2021 (b)</t>
  </si>
  <si>
    <t>Preenchimento opcional cfe. Item 02.01.03.01 da 12ª edição do MDF</t>
  </si>
  <si>
    <t>Valor da Receita Corrente Líquida de 2021</t>
  </si>
  <si>
    <t xml:space="preserve"> EXERCÍCIO DE 2023</t>
  </si>
  <si>
    <t>Ajustes de Exerc.Anteiores</t>
  </si>
  <si>
    <t>SALDOS DE EXERCÍCIOS ANTERIORES A 2019</t>
  </si>
  <si>
    <t>Inflação para 2025:</t>
  </si>
  <si>
    <t>2 - Os valores da renúncia projetados para 2024 e 2025, foram calculados a partir dos valores de 2023, apli</t>
  </si>
  <si>
    <t>Valor Previsto 2023</t>
  </si>
  <si>
    <t>LEI DE DIRETRIZES ORÇAMENTÁRIAS – 2023</t>
  </si>
  <si>
    <t xml:space="preserve">  (-)  Recursos de Emendas Parlamentares Individuais (código de natureza  1.7.1.0.00.00.00 com complemento de vínculo 3110)</t>
  </si>
  <si>
    <t xml:space="preserve">  (-)  Recursos de Emendas Parlamentares de Bancada (código de natureza  1.7.1.0.00.00.00 com complemento de vínculo 3120)</t>
  </si>
  <si>
    <t xml:space="preserve">1.6.4.1.01.00 +1.6.4.1.03.00 </t>
  </si>
  <si>
    <t>9.0.0.0.0.00.0.0</t>
  </si>
  <si>
    <t>9.1.1.0.0.00.0.0</t>
  </si>
  <si>
    <t>9.1.7.0.0.00.0.0</t>
  </si>
  <si>
    <t>9.1.0.0.0.00.0.0</t>
  </si>
  <si>
    <t>9.2.0.0.0.00.0.0</t>
  </si>
  <si>
    <t>Código até 2022</t>
  </si>
  <si>
    <t>Código a partir de 2023</t>
  </si>
  <si>
    <t>Código</t>
  </si>
  <si>
    <t>Município de : Caçapava do Sul / RS.</t>
  </si>
  <si>
    <t xml:space="preserve"> dos Vereadores).</t>
  </si>
  <si>
    <t>1Nota Explicativa: Lei Municipal nº 4.133/2020 (4,48% aos agentes públicos); nº 4.134/2020 (12,84% aos Membros Magistério); nº 4.137/2020 (4,30% ao subsídio</t>
  </si>
  <si>
    <t>nos Vencimentos dos Servidores da Câmara de Vereadores).</t>
  </si>
  <si>
    <t>2Nota Explicativa: Lei Municipal nº 4.206/2021 (4,56% aos agentes públicos e Magistério, implementada em janeiro de 2022); nº 4.207/2021 (4,56% revisão geral</t>
  </si>
  <si>
    <t>3Nota Explicativa: Lei Municipal nº 4.306/2022 (10,38% reposição e 5,14% reajuste aos agentes públicos); nº 4.307/2022 (10,38% reposição e 22,86 reposição aos</t>
  </si>
  <si>
    <t>membros da magistério em 3 parcelas; a 1ª de 5,14% em fevereiro, 2ª de 8,86% em junho e a 3ª de 8,86% em setembro); nº 4.308/2022 na mesma forma da Lei nº</t>
  </si>
  <si>
    <t xml:space="preserve"> 4.306/22 para os Vencimentos dos Servidores da Câmara de Vereadores.</t>
  </si>
  <si>
    <t>4Nota Explicativa: Fonte dos índice dos anos de 2023 a 2025 foi o Ipea/INPC (IBGE) - PORTAL DOS ÍNDICES.</t>
  </si>
  <si>
    <t>FONTE:  Sistema &lt;SIAFIC&gt;, Unidade Responsável &lt;SMF&gt;, Data da emissão &lt;08/08/2022&gt; e hora de emissão &lt;11h e 56min.&gt;</t>
  </si>
  <si>
    <t>GIOVANI AMESTOY DA SILVA</t>
  </si>
  <si>
    <t>ARLEI LOPES SOUZA</t>
  </si>
  <si>
    <t>Secret. de Mnunic. da Fazenda</t>
  </si>
  <si>
    <t xml:space="preserve">IHOKO NAKASHIMA MOTA  </t>
  </si>
  <si>
    <t>Prefeito Municipal</t>
  </si>
  <si>
    <t>CPF: 390.226.680-53</t>
  </si>
  <si>
    <t xml:space="preserve">   CPF: 009.854.830-16</t>
  </si>
  <si>
    <t xml:space="preserve">CPF: 610.320.420-87   </t>
  </si>
  <si>
    <t>Contador: RS-068452/O-6</t>
  </si>
  <si>
    <t>Secret. de Munic. da Fazenda</t>
  </si>
  <si>
    <t>19.821.452,71</t>
  </si>
  <si>
    <t>19.917.734,18</t>
  </si>
  <si>
    <t>32.931.901,40</t>
  </si>
  <si>
    <t>3.595.472,77</t>
  </si>
  <si>
    <t>3.990.302,93</t>
  </si>
  <si>
    <t>5.206.384,08</t>
  </si>
  <si>
    <t>3.578.318,42</t>
  </si>
  <si>
    <t>3.790.215,15</t>
  </si>
  <si>
    <t>3.970.048,29</t>
  </si>
  <si>
    <t>11.664,97</t>
  </si>
  <si>
    <t>185.272,45</t>
  </si>
  <si>
    <t>997.693,95</t>
  </si>
  <si>
    <t>5.489,38</t>
  </si>
  <si>
    <t>14.815,33</t>
  </si>
  <si>
    <t>238.641,84</t>
  </si>
  <si>
    <t>5.722.692,97</t>
  </si>
  <si>
    <t>4.204.358,51</t>
  </si>
  <si>
    <t>10.691.872,26</t>
  </si>
  <si>
    <t>5.698.532,67</t>
  </si>
  <si>
    <t>4.191.081,98</t>
  </si>
  <si>
    <t>8.771.954,65</t>
  </si>
  <si>
    <t>17.441,21</t>
  </si>
  <si>
    <t>9.187,24</t>
  </si>
  <si>
    <t>1.690.905,79</t>
  </si>
  <si>
    <t>6.719,09</t>
  </si>
  <si>
    <t>4.089,29</t>
  </si>
  <si>
    <t>229.011,82</t>
  </si>
  <si>
    <t>4.607.175,11</t>
  </si>
  <si>
    <t>2.429.706,77</t>
  </si>
  <si>
    <t>1.456.072,10</t>
  </si>
  <si>
    <t>5.896.111,86</t>
  </si>
  <si>
    <t>9.293.365,97</t>
  </si>
  <si>
    <t>15.577.572,96</t>
  </si>
  <si>
    <t>3.564.553,49</t>
  </si>
  <si>
    <t>462.025,25</t>
  </si>
  <si>
    <t>5.720.866,22</t>
  </si>
  <si>
    <t>15.115.547,71</t>
  </si>
  <si>
    <t>7.946,26</t>
  </si>
  <si>
    <t>Página: 1 de 5</t>
  </si>
  <si>
    <t>Município de Cacapava do Sul - RS</t>
  </si>
  <si>
    <t>ANEXO DE METAS FISCAIS</t>
  </si>
  <si>
    <t>AVALIAÇÃO DA SITUAÇÃO FINANCEIRA E ATUARIAL DO REGIME PRÓPRIO DE PREVIDÊNCIA DOS SERVIDORES E DAS PENSÕES E INATIVOS</t>
  </si>
  <si>
    <t>2023</t>
  </si>
  <si>
    <t>AMF - Demonstrativo 6 (LRF,art.4º,§2º, inciso IV, alínea "a")</t>
  </si>
  <si>
    <t>R$ 1,00</t>
  </si>
  <si>
    <t>RECEITAS E DESPESAS PREVIDENCIÁRIAS DO REGIME PRÓPRIO DE PREVIDÊNCIA DOS SERVIDORES - RPPS</t>
  </si>
  <si>
    <t>FUNDO EM CAPITALIZAÇÃO (PLANO PREVIDENCIÁRIO)</t>
  </si>
  <si>
    <t>RECEITAS PREVIDENCIÁRIAS - RPPS (FUNDO EM CAPITALIZAÇÃO)</t>
  </si>
  <si>
    <t>2019</t>
  </si>
  <si>
    <t>2020</t>
  </si>
  <si>
    <t>2021</t>
  </si>
  <si>
    <t>Ativo</t>
  </si>
  <si>
    <t>Inativo</t>
  </si>
  <si>
    <t>Pensionista</t>
  </si>
  <si>
    <t>Compensação Financeira entre os Regimes</t>
  </si>
  <si>
    <t>Aportes Periódicos para Amortização de Déficit Atuarial do RPPS (II)¹</t>
  </si>
  <si>
    <t>TOTAL DAS RECEITAS DO FUNDO EM CAPITALIZAÇÃO - (IV) = (I + III - II)</t>
  </si>
  <si>
    <t>13.925.340,85</t>
  </si>
  <si>
    <t>14.196.867,96</t>
  </si>
  <si>
    <t>17.816.353,69</t>
  </si>
  <si>
    <t>DESPESAS PREVIDENCIÁRIAS - RPPS (FUNDO EM CAPITALIZAÇÃO)</t>
  </si>
  <si>
    <t>Benefícios</t>
  </si>
  <si>
    <t>18.978.607,11</t>
  </si>
  <si>
    <t>22.177.166,42</t>
  </si>
  <si>
    <t>24.197.417,52</t>
  </si>
  <si>
    <t>16.595.676,81</t>
  </si>
  <si>
    <t>19.612.916,67</t>
  </si>
  <si>
    <t>21.412.072,82</t>
  </si>
  <si>
    <t>Pensões por Morte</t>
  </si>
  <si>
    <t>2.382.930,30</t>
  </si>
  <si>
    <t>2.564.249,75</t>
  </si>
  <si>
    <t>2.785.344,70</t>
  </si>
  <si>
    <t>0,00</t>
  </si>
  <si>
    <t>TOTAL DAS DESPESAS DO FUNDO EM CAPITALIZAÇÃO (V)</t>
  </si>
  <si>
    <t>RESULTADO PREVIDENCIÁRIO - FUNDO EM CAPITALIZAÇÃO (VI) = (IV – V)²</t>
  </si>
  <si>
    <t>(5.053.266,26)</t>
  </si>
  <si>
    <t>(7.980.298,46)</t>
  </si>
  <si>
    <t>(6.381.063,83)</t>
  </si>
  <si>
    <t>10,00</t>
  </si>
  <si>
    <t>4.084.589,10</t>
  </si>
  <si>
    <t>2.985.119,66</t>
  </si>
  <si>
    <t>APORTES DE RECURSOS PARA O FUNDO EM CAPITALIZAÇÃO DO RPPS</t>
  </si>
  <si>
    <t>45.132.533,67</t>
  </si>
  <si>
    <t>51.682.721,41</t>
  </si>
  <si>
    <t>56.736.057,69</t>
  </si>
  <si>
    <t>427.923,79</t>
  </si>
  <si>
    <t>673.235,11</t>
  </si>
  <si>
    <t>822.110,43</t>
  </si>
  <si>
    <t>BENS E DIREITOS DO RPPS (FUNDO EM CAPITALIZAÇÃO)</t>
  </si>
  <si>
    <t>8.817.165,76</t>
  </si>
  <si>
    <t>17.975.899,67</t>
  </si>
  <si>
    <t>14.951.171,03</t>
  </si>
  <si>
    <t>Outros Bens e Direitos</t>
  </si>
  <si>
    <t>FONTE: GOVBR - Planejamento e Orçamento, SECRETARIA DE MUNICÍPIO DA FAZENDA, 08/Ago/2022, 13h e 37m.</t>
  </si>
  <si>
    <t>Página: 2 de 5</t>
  </si>
  <si>
    <t>FUNDO EM REPARTIÇÃO (PLANO FINANCEIRO)</t>
  </si>
  <si>
    <t>RECEITAS PREVIDENCIÁRIAS - RPPS (FUNDO EM REPARTIÇÃO)</t>
  </si>
  <si>
    <t>TOTAL DAS RECEITAS DO FUNDO EM REPARTIÇÃO (IX) = (VII + VIII)</t>
  </si>
  <si>
    <t>DESPESAS PREVIDENCIÁRIAS - RPPS (FUNDO EM REPARTIÇÃO)</t>
  </si>
  <si>
    <t>TOTAL DAS DESPESAS DO FUNDO EM REPARTIÇÃO (X)</t>
  </si>
  <si>
    <t>RESULTADO PREVIDENCIÁRIO - FUNDO EM REPARTIÇÃO (XI) = (IX - X)²</t>
  </si>
  <si>
    <t>APORTES DE RECURSOS PARA O FUNDO EM REPARTIÇÃO DO RPPS</t>
  </si>
  <si>
    <t>BENS E DIREITOS DO RPPS (FUNDO EM REPARTIÇÃO)</t>
  </si>
  <si>
    <t>ADMINISTRAÇÃO DO REGIME PRÓPRIO DE PREVIDÊNCIA DOS SERVIDORES - RPPS</t>
  </si>
  <si>
    <t>Despesas Correntes (XIII)</t>
  </si>
  <si>
    <t>Pessoal e Encargos Sociais</t>
  </si>
  <si>
    <t>Demais Despesas Correntes</t>
  </si>
  <si>
    <t>Despesas de Capital (XIV)</t>
  </si>
  <si>
    <t>RESULTADO DA ADMINISTRAÇÃO RPPS (XVI) = (XII - XV)²</t>
  </si>
  <si>
    <t>BENS E DIREITOS DO RPPS - ADMINISTRAÇÃO DO RPPS</t>
  </si>
  <si>
    <t>BENEFÍCIOS PREVIDENCIÁRIOS MANTIDOS PELO TESOURO</t>
  </si>
  <si>
    <t>RECEITAS PREVIDENCIÁRIAS (BENEFÍCIOS MANTIDOS PELO TESOURO)</t>
  </si>
  <si>
    <t>Contribuições dos Servidores</t>
  </si>
  <si>
    <t>Demais Receitas Previdenciárias</t>
  </si>
  <si>
    <t>TOTAL DAS RECEITAS  (BENEFÍCIOS MANTIDOS PELO TESOURO) (XVII)</t>
  </si>
  <si>
    <t>DESPESAS PREVIDENCIÁRIAS (BENEFÍCIOS MANTIDOS PELO TESOURO)</t>
  </si>
  <si>
    <t>TOTAL DAS DESPESAS (BENEFÍCIOS MANTIDOS PELO TESOURO) (XVIII)</t>
  </si>
  <si>
    <t>RESULTADO DOS BENEFÍCIOS MANTIDOS PELO TESOURO (XIX) = (XVII - XVIII)²</t>
  </si>
  <si>
    <t>PROJEÇÃO ATUARIAL DO REGIME PRÓPRIO DE PREVIDÊNCIA DOS SERVIDORES
FUNDO EM CAPITALIZAÇÃO (PLANO PREVIDENCIÁRIO)</t>
  </si>
  <si>
    <t>Receitas
Previdenciárias
(a)</t>
  </si>
  <si>
    <t>Despesas
Previdenciárias
(b)</t>
  </si>
  <si>
    <t>Resultado
Previdenciário
(c)=(a-b)</t>
  </si>
  <si>
    <t>Saldo Financeiro
do Exercício
(d)=(d Exercício Anterior)+(c)</t>
  </si>
  <si>
    <t>2022</t>
  </si>
  <si>
    <t>57.558.323,91</t>
  </si>
  <si>
    <t>30.757.595,84</t>
  </si>
  <si>
    <t>32.361.761,14</t>
  </si>
  <si>
    <t>(1.604.165,30)</t>
  </si>
  <si>
    <t>55.954.158,61</t>
  </si>
  <si>
    <t>2024</t>
  </si>
  <si>
    <t>34.300.562,07</t>
  </si>
  <si>
    <t>33.288.074,86</t>
  </si>
  <si>
    <t>1.012.487,21</t>
  </si>
  <si>
    <t>56.966.645,82</t>
  </si>
  <si>
    <t>2025</t>
  </si>
  <si>
    <t>34.296.331,05</t>
  </si>
  <si>
    <t>34.722.224,59</t>
  </si>
  <si>
    <t>(425.893,54)</t>
  </si>
  <si>
    <t>56.540.752,28</t>
  </si>
  <si>
    <t>2026</t>
  </si>
  <si>
    <t>34.257.008,43</t>
  </si>
  <si>
    <t>35.768.386,15</t>
  </si>
  <si>
    <t>(1.511.377,72)</t>
  </si>
  <si>
    <t>55.029.374,56</t>
  </si>
  <si>
    <t>2027</t>
  </si>
  <si>
    <t>33.964.586,56</t>
  </si>
  <si>
    <t>37.673.448,66</t>
  </si>
  <si>
    <t>(3.708.862,10)</t>
  </si>
  <si>
    <t>51.320.512,46</t>
  </si>
  <si>
    <t>2028</t>
  </si>
  <si>
    <t>33.656.547,12</t>
  </si>
  <si>
    <t>38.751.985,91</t>
  </si>
  <si>
    <t>(5.095.438,79)</t>
  </si>
  <si>
    <t>46.225.073,67</t>
  </si>
  <si>
    <t>2029</t>
  </si>
  <si>
    <t>33.026.600,81</t>
  </si>
  <si>
    <t>40.999.083,12</t>
  </si>
  <si>
    <t>(7.972.482,31)</t>
  </si>
  <si>
    <t>38.252.591,36</t>
  </si>
  <si>
    <t>2030</t>
  </si>
  <si>
    <t>32.490.510,98</t>
  </si>
  <si>
    <t>41.727.933,69</t>
  </si>
  <si>
    <t>(9.237.422,71)</t>
  </si>
  <si>
    <t>29.015.168,65</t>
  </si>
  <si>
    <t>2031</t>
  </si>
  <si>
    <t>31.849.044,24</t>
  </si>
  <si>
    <t>42.461.942,33</t>
  </si>
  <si>
    <t>(10.612.898,09)</t>
  </si>
  <si>
    <t>18.402.270,56</t>
  </si>
  <si>
    <t>2032</t>
  </si>
  <si>
    <t>31.167.389,92</t>
  </si>
  <si>
    <t>43.332.513,23</t>
  </si>
  <si>
    <t>(12.165.123,31)</t>
  </si>
  <si>
    <t>6.237.147,25</t>
  </si>
  <si>
    <t>2033</t>
  </si>
  <si>
    <t>31.063.145,87</t>
  </si>
  <si>
    <t>44.372.177,12</t>
  </si>
  <si>
    <t>(13.309.031,25)</t>
  </si>
  <si>
    <t>(7.071.884,00)</t>
  </si>
  <si>
    <t>2034</t>
  </si>
  <si>
    <t>31.380.089,37</t>
  </si>
  <si>
    <t>44.658.608,16</t>
  </si>
  <si>
    <t>(13.278.518,79)</t>
  </si>
  <si>
    <t>(20.350.402,79)</t>
  </si>
  <si>
    <t>2035</t>
  </si>
  <si>
    <t>32.019.616,19</t>
  </si>
  <si>
    <t>44.839.904,59</t>
  </si>
  <si>
    <t>(12.820.288,40)</t>
  </si>
  <si>
    <t>(33.170.691,19)</t>
  </si>
  <si>
    <t>2036</t>
  </si>
  <si>
    <t>32.552.941,58</t>
  </si>
  <si>
    <t>45.511.070,96</t>
  </si>
  <si>
    <t>(12.958.129,38)</t>
  </si>
  <si>
    <t>(46.128.820,57)</t>
  </si>
  <si>
    <t>2037</t>
  </si>
  <si>
    <t>33.148.762,04</t>
  </si>
  <si>
    <t>45.879.929,31</t>
  </si>
  <si>
    <t>(12.731.167,27)</t>
  </si>
  <si>
    <t>(58.859.987,84)</t>
  </si>
  <si>
    <t>2038</t>
  </si>
  <si>
    <t>33.520.928,45</t>
  </si>
  <si>
    <t>47.242.269,65</t>
  </si>
  <si>
    <t>(13.721.341,20)</t>
  </si>
  <si>
    <t>(72.581.329,04)</t>
  </si>
  <si>
    <t>2039</t>
  </si>
  <si>
    <t>34.194.703,07</t>
  </si>
  <si>
    <t>47.247.332,89</t>
  </si>
  <si>
    <t>(13.052.629,82)</t>
  </si>
  <si>
    <t>(85.633.958,86)</t>
  </si>
  <si>
    <t>2040</t>
  </si>
  <si>
    <t>34.743.192,22</t>
  </si>
  <si>
    <t>47.815.612,53</t>
  </si>
  <si>
    <t>(13.072.420,31)</t>
  </si>
  <si>
    <t>(98.706.379,17)</t>
  </si>
  <si>
    <t>2041</t>
  </si>
  <si>
    <t>35.292.738,96</t>
  </si>
  <si>
    <t>48.382.714,90</t>
  </si>
  <si>
    <t>(13.089.975,94)</t>
  </si>
  <si>
    <t>(111.796.355,11)</t>
  </si>
  <si>
    <t>2042</t>
  </si>
  <si>
    <t>35.886.679,41</t>
  </si>
  <si>
    <t>48.786.970,44</t>
  </si>
  <si>
    <t>(12.900.291,03)</t>
  </si>
  <si>
    <t>(124.696.646,14)</t>
  </si>
  <si>
    <t>2043</t>
  </si>
  <si>
    <t>36.457.786,23</t>
  </si>
  <si>
    <t>49.302.088,81</t>
  </si>
  <si>
    <t>(12.844.302,58)</t>
  </si>
  <si>
    <t>(137.540.948,72)</t>
  </si>
  <si>
    <t>2044</t>
  </si>
  <si>
    <t>37.182.723,97</t>
  </si>
  <si>
    <t>49.138.520,92</t>
  </si>
  <si>
    <t>(11.955.796,95)</t>
  </si>
  <si>
    <t>(149.496.745,67)</t>
  </si>
  <si>
    <t>2045</t>
  </si>
  <si>
    <t>37.884.440,95</t>
  </si>
  <si>
    <t>49.112.802,79</t>
  </si>
  <si>
    <t>(11.228.361,84)</t>
  </si>
  <si>
    <t>(160.725.107,51)</t>
  </si>
  <si>
    <t>2046</t>
  </si>
  <si>
    <t>38.718.384,69</t>
  </si>
  <si>
    <t>48.544.277,81</t>
  </si>
  <si>
    <t>(9.825.893,12)</t>
  </si>
  <si>
    <t>(170.551.000,63)</t>
  </si>
  <si>
    <t>2047</t>
  </si>
  <si>
    <t>39.547.016,19</t>
  </si>
  <si>
    <t>48.069.680,91</t>
  </si>
  <si>
    <t>(8.522.664,72)</t>
  </si>
  <si>
    <t>(179.073.665,35)</t>
  </si>
  <si>
    <t>2048</t>
  </si>
  <si>
    <t>40.470.898,78</t>
  </si>
  <si>
    <t>47.231.367,06</t>
  </si>
  <si>
    <t>(6.760.468,28)</t>
  </si>
  <si>
    <t>(185.834.133,63)</t>
  </si>
  <si>
    <t>2049</t>
  </si>
  <si>
    <t>41.364.660,17</t>
  </si>
  <si>
    <t>46.615.444,77</t>
  </si>
  <si>
    <t>(5.250.784,60)</t>
  </si>
  <si>
    <t>(191.084.918,23)</t>
  </si>
  <si>
    <t>2050</t>
  </si>
  <si>
    <t>42.352.035,46</t>
  </si>
  <si>
    <t>45.680.486,15</t>
  </si>
  <si>
    <t>(3.328.450,69)</t>
  </si>
  <si>
    <t>(194.413.368,92)</t>
  </si>
  <si>
    <t>2051</t>
  </si>
  <si>
    <t>43.410.033,06</t>
  </si>
  <si>
    <t>44.547.827,21</t>
  </si>
  <si>
    <t>(1.137.794,15)</t>
  </si>
  <si>
    <t>(195.551.163,07)</t>
  </si>
  <si>
    <t>2052</t>
  </si>
  <si>
    <t>44.497.462,41</t>
  </si>
  <si>
    <t>43.421.292,51</t>
  </si>
  <si>
    <t>1.076.169,90</t>
  </si>
  <si>
    <t>(194.474.993,17)</t>
  </si>
  <si>
    <t>2053</t>
  </si>
  <si>
    <t>45.663.734,71</t>
  </si>
  <si>
    <t>42.090.250,34</t>
  </si>
  <si>
    <t>3.573.484,37</t>
  </si>
  <si>
    <t>(190.901.508,80)</t>
  </si>
  <si>
    <t>2054</t>
  </si>
  <si>
    <t>46.896.925,06</t>
  </si>
  <si>
    <t>40.625.508,49</t>
  </si>
  <si>
    <t>6.271.416,57</t>
  </si>
  <si>
    <t>(184.630.092,23)</t>
  </si>
  <si>
    <t>2055</t>
  </si>
  <si>
    <t>3.626.565,91</t>
  </si>
  <si>
    <t>39.219.979,02</t>
  </si>
  <si>
    <t>(35.593.413,11)</t>
  </si>
  <si>
    <t>(220.223.505,34)</t>
  </si>
  <si>
    <t>2056</t>
  </si>
  <si>
    <t>3.433.149,18</t>
  </si>
  <si>
    <t>37.837.292,55</t>
  </si>
  <si>
    <t>(34.404.143,37)</t>
  </si>
  <si>
    <t>(254.627.648,71)</t>
  </si>
  <si>
    <t>2057</t>
  </si>
  <si>
    <t>3.270.052,50</t>
  </si>
  <si>
    <t>36.305.242,54</t>
  </si>
  <si>
    <t>(33.035.190,04)</t>
  </si>
  <si>
    <t>(287.662.838,75)</t>
  </si>
  <si>
    <t>2058</t>
  </si>
  <si>
    <t>3.108.632,45</t>
  </si>
  <si>
    <t>34.762.519,39</t>
  </si>
  <si>
    <t>(31.653.886,94)</t>
  </si>
  <si>
    <t>(319.316.725,69)</t>
  </si>
  <si>
    <t>2059</t>
  </si>
  <si>
    <t>2.949.489,63</t>
  </si>
  <si>
    <t>33.215.019,09</t>
  </si>
  <si>
    <t>(30.265.529,46)</t>
  </si>
  <si>
    <t>(349.582.255,15)</t>
  </si>
  <si>
    <t>2060</t>
  </si>
  <si>
    <t>2.793.099,94</t>
  </si>
  <si>
    <t>31.667.635,97</t>
  </si>
  <si>
    <t>(28.874.536,03)</t>
  </si>
  <si>
    <t>(378.456.791,18)</t>
  </si>
  <si>
    <t>2061</t>
  </si>
  <si>
    <t>2.639.823,69</t>
  </si>
  <si>
    <t>30.124.618,24</t>
  </si>
  <si>
    <t>(27.484.794,55)</t>
  </si>
  <si>
    <t>(405.941.585,73)</t>
  </si>
  <si>
    <t>2062</t>
  </si>
  <si>
    <t>2.489.925,21</t>
  </si>
  <si>
    <t>28.589.845,63</t>
  </si>
  <si>
    <t>(26.099.920,42)</t>
  </si>
  <si>
    <t>(432.041.506,15)</t>
  </si>
  <si>
    <t>2063</t>
  </si>
  <si>
    <t>2.343.640,24</t>
  </si>
  <si>
    <t>27.067.372,89</t>
  </si>
  <si>
    <t>(24.723.732,65)</t>
  </si>
  <si>
    <t>(456.765.238,80)</t>
  </si>
  <si>
    <t>2064</t>
  </si>
  <si>
    <t>2.201.164,35</t>
  </si>
  <si>
    <t>25.560.954,19</t>
  </si>
  <si>
    <t>(23.359.789,84)</t>
  </si>
  <si>
    <t>(480.125.028,64)</t>
  </si>
  <si>
    <t>2065</t>
  </si>
  <si>
    <t>2.062.623,69</t>
  </si>
  <si>
    <t>24.073.758,68</t>
  </si>
  <si>
    <t>(22.011.134,99)</t>
  </si>
  <si>
    <t>(502.136.163,63)</t>
  </si>
  <si>
    <t>2066</t>
  </si>
  <si>
    <t>1.928.157,08</t>
  </si>
  <si>
    <t>22.609.297,47</t>
  </si>
  <si>
    <t>(20.681.140,39)</t>
  </si>
  <si>
    <t>(522.817.304,02)</t>
  </si>
  <si>
    <t>2067</t>
  </si>
  <si>
    <t>1.797.966,84</t>
  </si>
  <si>
    <t>21.171.833,87</t>
  </si>
  <si>
    <t>(19.373.867,03)</t>
  </si>
  <si>
    <t>(542.191.171,05)</t>
  </si>
  <si>
    <t>2068</t>
  </si>
  <si>
    <t>1.672.258,12</t>
  </si>
  <si>
    <t>19.765.616,36</t>
  </si>
  <si>
    <t>(18.093.358,24)</t>
  </si>
  <si>
    <t>(560.284.529,29)</t>
  </si>
  <si>
    <t>2069</t>
  </si>
  <si>
    <t>1.551.142,12</t>
  </si>
  <si>
    <t>18.393.817,98</t>
  </si>
  <si>
    <t>(16.842.675,86)</t>
  </si>
  <si>
    <t>(577.127.205,15)</t>
  </si>
  <si>
    <t>2070</t>
  </si>
  <si>
    <t>1.434.633,98</t>
  </si>
  <si>
    <t>17.058.639,97</t>
  </si>
  <si>
    <t>(15.624.005,99)</t>
  </si>
  <si>
    <t>(592.751.211,14)</t>
  </si>
  <si>
    <t>2071</t>
  </si>
  <si>
    <t>1.322.697,67</t>
  </si>
  <si>
    <t>15.761.930,43</t>
  </si>
  <si>
    <t>(14.439.232,76)</t>
  </si>
  <si>
    <t>(607.190.443,90)</t>
  </si>
  <si>
    <t>2072</t>
  </si>
  <si>
    <t>1.215.348,64</t>
  </si>
  <si>
    <t>14.506.250,70</t>
  </si>
  <si>
    <t>(13.290.902,06)</t>
  </si>
  <si>
    <t>(620.481.345,96)</t>
  </si>
  <si>
    <t>2073</t>
  </si>
  <si>
    <t>1.112.642,99</t>
  </si>
  <si>
    <t>13.294.271,49</t>
  </si>
  <si>
    <t>(12.181.628,50)</t>
  </si>
  <si>
    <t>(632.662.974,46)</t>
  </si>
  <si>
    <t>2074</t>
  </si>
  <si>
    <t>1.014.556,96</t>
  </si>
  <si>
    <t>12.127.807,41</t>
  </si>
  <si>
    <t>(11.113.250,45)</t>
  </si>
  <si>
    <t>(643.776.224,91)</t>
  </si>
  <si>
    <t>2075</t>
  </si>
  <si>
    <t>921.170,67</t>
  </si>
  <si>
    <t>11.009.962,16</t>
  </si>
  <si>
    <t>(10.088.791,49)</t>
  </si>
  <si>
    <t>(653.865.016,40)</t>
  </si>
  <si>
    <t>2076</t>
  </si>
  <si>
    <t>832.511,93</t>
  </si>
  <si>
    <t>9.942.923,49</t>
  </si>
  <si>
    <t>(9.110.411,56)</t>
  </si>
  <si>
    <t>(662.975.427,96)</t>
  </si>
  <si>
    <t>2077</t>
  </si>
  <si>
    <t>748.476,72</t>
  </si>
  <si>
    <t>8.927.256,60</t>
  </si>
  <si>
    <t>(8.178.779,88)</t>
  </si>
  <si>
    <t>(671.154.207,84)</t>
  </si>
  <si>
    <t>2078</t>
  </si>
  <si>
    <t>668.900,23</t>
  </si>
  <si>
    <t>7.962.991,89</t>
  </si>
  <si>
    <t>(7.294.091,66)</t>
  </si>
  <si>
    <t>(678.448.299,50)</t>
  </si>
  <si>
    <t>2079</t>
  </si>
  <si>
    <t>593.784,23</t>
  </si>
  <si>
    <t>7.052.103,96</t>
  </si>
  <si>
    <t>(6.458.319,73)</t>
  </si>
  <si>
    <t>(684.906.619,23)</t>
  </si>
  <si>
    <t>2080</t>
  </si>
  <si>
    <t>523.259,25</t>
  </si>
  <si>
    <t>6.197.376,48</t>
  </si>
  <si>
    <t>(5.674.117,23)</t>
  </si>
  <si>
    <t>(690.580.736,46)</t>
  </si>
  <si>
    <t>2081</t>
  </si>
  <si>
    <t>457.480,69</t>
  </si>
  <si>
    <t>5.401.231,68</t>
  </si>
  <si>
    <t>(4.943.750,99)</t>
  </si>
  <si>
    <t>(695.524.487,45)</t>
  </si>
  <si>
    <t>2082</t>
  </si>
  <si>
    <t>396.567,09</t>
  </si>
  <si>
    <t>4.665.276,27</t>
  </si>
  <si>
    <t>(4.268.709,18)</t>
  </si>
  <si>
    <t>(699.793.196,63)</t>
  </si>
  <si>
    <t>2083</t>
  </si>
  <si>
    <t>340.586,24</t>
  </si>
  <si>
    <t>3.990.367,95</t>
  </si>
  <si>
    <t>(3.649.781,71)</t>
  </si>
  <si>
    <t>(703.442.978,34)</t>
  </si>
  <si>
    <t>2084</t>
  </si>
  <si>
    <t>289.581,05</t>
  </si>
  <si>
    <t>3.377.019,01</t>
  </si>
  <si>
    <t>(3.087.437,96)</t>
  </si>
  <si>
    <t>(706.530.416,30)</t>
  </si>
  <si>
    <t>2085</t>
  </si>
  <si>
    <t>243.549,14</t>
  </si>
  <si>
    <t>2.825.149,57</t>
  </si>
  <si>
    <t>(2.581.600,43)</t>
  </si>
  <si>
    <t>(709.112.016,73)</t>
  </si>
  <si>
    <t>2086</t>
  </si>
  <si>
    <t>202.386,52</t>
  </si>
  <si>
    <t>2.333.385,00</t>
  </si>
  <si>
    <t>(2.130.998,48)</t>
  </si>
  <si>
    <t>(711.243.015,21)</t>
  </si>
  <si>
    <t>2087</t>
  </si>
  <si>
    <t>165.922,25</t>
  </si>
  <si>
    <t>1.899.547,40</t>
  </si>
  <si>
    <t>(1.733.625,15)</t>
  </si>
  <si>
    <t>(712.976.640,36)</t>
  </si>
  <si>
    <t>2088</t>
  </si>
  <si>
    <t>133.989,59</t>
  </si>
  <si>
    <t>1.521.528,29</t>
  </si>
  <si>
    <t>(1.387.538,70)</t>
  </si>
  <si>
    <t>(714.364.179,06)</t>
  </si>
  <si>
    <t>2089</t>
  </si>
  <si>
    <t>106.367,75</t>
  </si>
  <si>
    <t>1.196.491,63</t>
  </si>
  <si>
    <t>(1.090.123,88)</t>
  </si>
  <si>
    <t>(715.454.302,94)</t>
  </si>
  <si>
    <t>2090</t>
  </si>
  <si>
    <t>82.780,36</t>
  </si>
  <si>
    <t>920.881,73</t>
  </si>
  <si>
    <t>(838.101,37)</t>
  </si>
  <si>
    <t>(716.292.404,31)</t>
  </si>
  <si>
    <t>2091</t>
  </si>
  <si>
    <t>62.956,30</t>
  </si>
  <si>
    <t>691.178,85</t>
  </si>
  <si>
    <t>(628.222,55)</t>
  </si>
  <si>
    <t>(716.920.626,86)</t>
  </si>
  <si>
    <t>2092</t>
  </si>
  <si>
    <t>46.637,84</t>
  </si>
  <si>
    <t>503.993,27</t>
  </si>
  <si>
    <t>(457.355,43)</t>
  </si>
  <si>
    <t>(717.377.982,29)</t>
  </si>
  <si>
    <t>2093</t>
  </si>
  <si>
    <t>33.532,81</t>
  </si>
  <si>
    <t>355.499,31</t>
  </si>
  <si>
    <t>(321.966,50)</t>
  </si>
  <si>
    <t>(717.699.948,79)</t>
  </si>
  <si>
    <t>2094</t>
  </si>
  <si>
    <t>23.300,90</t>
  </si>
  <si>
    <t>241.286,22</t>
  </si>
  <si>
    <t>(217.985,32)</t>
  </si>
  <si>
    <t>(717.917.934,11)</t>
  </si>
  <si>
    <t>2095</t>
  </si>
  <si>
    <t>15.555,30</t>
  </si>
  <si>
    <t>156.392,07</t>
  </si>
  <si>
    <t>(140.836,77)</t>
  </si>
  <si>
    <t>(718.058.770,88)</t>
  </si>
  <si>
    <t>2096</t>
  </si>
  <si>
    <t>9.885,91</t>
  </si>
  <si>
    <t>95.612,49</t>
  </si>
  <si>
    <t>(85.726,58)</t>
  </si>
  <si>
    <t>(718.144.497,46)</t>
  </si>
  <si>
    <t>2097</t>
  </si>
  <si>
    <t>NOTA: 
1 Como a Portaria MPS 746/2011 determina que os recursos provenientes desses aportes devem permanecer aplicados, no mínimo, por 5 (cinco) anos, essa receita não deverá
compor o total das receitas previdenciárias do período de apuração.
2 O resultado previdenciário poderá ser apresentado por meio da diferença entre previsão da receita e a dotação da despesa e entre a receita realizada e a despesa liquidada (do
1º ao 5º bimestre) e a despesa empenhada (no 6º bimestre).</t>
  </si>
  <si>
    <t xml:space="preserve">       Prefeito Municipal</t>
  </si>
  <si>
    <t xml:space="preserve">                         Secret. de Mnunic. da Fazenda</t>
  </si>
  <si>
    <t xml:space="preserve">                                CPF: 390.226.680-53</t>
  </si>
  <si>
    <t>Contrapartida</t>
  </si>
  <si>
    <t>Repasse</t>
  </si>
  <si>
    <t>DEMONSTRATIVO DE RISCOS FISCAIS E PROVIDÊNCIAS - EXERCÍCIO DE 2023</t>
  </si>
  <si>
    <r>
      <t>ARF (LRF, art 4</t>
    </r>
    <r>
      <rPr>
        <u val="single"/>
        <vertAlign val="superscript"/>
        <sz val="8"/>
        <rFont val="Arial"/>
        <family val="2"/>
      </rPr>
      <t>o</t>
    </r>
    <r>
      <rPr>
        <sz val="8"/>
        <rFont val="Arial"/>
        <family val="2"/>
      </rPr>
      <t>, § 3</t>
    </r>
    <r>
      <rPr>
        <u val="single"/>
        <vertAlign val="superscript"/>
        <sz val="8"/>
        <rFont val="Arial"/>
        <family val="2"/>
      </rPr>
      <t>o</t>
    </r>
    <r>
      <rPr>
        <sz val="8"/>
        <rFont val="Arial"/>
        <family val="2"/>
      </rPr>
      <t>)</t>
    </r>
  </si>
  <si>
    <t>Assunção de Passivos¹</t>
  </si>
  <si>
    <t>Buscar os valores da parte previdênciária nos Proc Trabalhistas de pessoal vínculados ao RPPS.</t>
  </si>
  <si>
    <t>Contenção de gastos através do remanejo de dotações p/ cobertura das Obrig. Patronais e inclusão de alíquota maiores no FUNDEB.</t>
  </si>
  <si>
    <t>16 Ag. Comunitário de Saúde Diferença Piso R$ 2.424,00</t>
  </si>
  <si>
    <t>Repasse da União para a Saúde</t>
  </si>
  <si>
    <t>Ag. de Combate a Endemias Diferença Piso R$ 2.424,00</t>
  </si>
  <si>
    <t>Aumento do salário Mínimo de R$ 1.212,00 para R$ 1.302,00 para 2023</t>
  </si>
  <si>
    <t>Aumpeno Permanente da Receita</t>
  </si>
  <si>
    <t>Outros Riscos Fiscais (Impactos de Pautas importantes e Graves) Fonte: CNM</t>
  </si>
  <si>
    <t>Contenção de despesas, solicitação de Auxípio Financeiro a União e Estado</t>
  </si>
  <si>
    <t>¹Nota Explicativa: Lei Municipal N 4167/2020 - Art. 4º que altera a aliquota da Recuperação do Passivo Atuarial de 40,00% para 50,00% em 2023,</t>
  </si>
  <si>
    <t>Base Folha de de agosto de 2022 dos Ativos e Inativos corrigido pelo IPCA em 10,06%.</t>
  </si>
  <si>
    <t>Impactos de Pautas importantes e Graves</t>
  </si>
  <si>
    <t>ICMS</t>
  </si>
  <si>
    <t>ICMS Diesel</t>
  </si>
  <si>
    <t>Reajuste do Piso ACE e ACS</t>
  </si>
  <si>
    <t>Piso Enfermagem</t>
  </si>
  <si>
    <t>Imposto de Renda</t>
  </si>
  <si>
    <t>Simpes Nacional</t>
  </si>
  <si>
    <t>Piso Garis</t>
  </si>
  <si>
    <t>PLs dos Pisos</t>
  </si>
  <si>
    <t>Piso Magistério</t>
  </si>
  <si>
    <t>Desinerasção IPI</t>
  </si>
  <si>
    <t>STF  ICMS</t>
  </si>
  <si>
    <t>STF Creches</t>
  </si>
  <si>
    <t>Royalties</t>
  </si>
  <si>
    <t xml:space="preserve">Fonte: CNM </t>
  </si>
  <si>
    <t>Órgãos</t>
  </si>
  <si>
    <t>F. R.:</t>
  </si>
  <si>
    <t> Listagem de Convênio  em Execução</t>
  </si>
  <si>
    <t>Exec. 2022</t>
  </si>
  <si>
    <t> Valor total</t>
  </si>
  <si>
    <t>Cp</t>
  </si>
  <si>
    <t>SMTSUI</t>
  </si>
  <si>
    <r>
      <t xml:space="preserve">53000 MDR Conv. 929145/2022 </t>
    </r>
    <r>
      <rPr>
        <sz val="6"/>
        <color indexed="8"/>
        <rFont val="Times New Roman"/>
        <family val="1"/>
      </rPr>
      <t>Pav. Romana Cechim e o Passeio</t>
    </r>
  </si>
  <si>
    <t>53000 MDR Conv. 914293/2021 Pavim. R. Cel Baltazar de Bem e C. 250,0</t>
  </si>
  <si>
    <r>
      <t xml:space="preserve">53000 MDR Conv. 914189/2021 </t>
    </r>
    <r>
      <rPr>
        <sz val="6"/>
        <color indexed="8"/>
        <rFont val="Times New Roman"/>
        <family val="1"/>
      </rPr>
      <t>Pav. R. Arnaldo L. Valli</t>
    </r>
    <r>
      <rPr>
        <sz val="6"/>
        <rFont val="Times New Roman"/>
        <family val="1"/>
      </rPr>
      <t xml:space="preserve"> drenag.240.000</t>
    </r>
  </si>
  <si>
    <r>
      <t xml:space="preserve">53000 MDR Conv.884657/2019 </t>
    </r>
    <r>
      <rPr>
        <sz val="6"/>
        <color indexed="8"/>
        <rFont val="Times New Roman"/>
        <family val="1"/>
      </rPr>
      <t>Pav. Dom. Pedro II - Fase I</t>
    </r>
  </si>
  <si>
    <r>
      <t xml:space="preserve">53000 MDR Conv. </t>
    </r>
    <r>
      <rPr>
        <b/>
        <sz val="6"/>
        <rFont val="Times New Roman"/>
        <family val="1"/>
      </rPr>
      <t>906036/2020</t>
    </r>
    <r>
      <rPr>
        <sz val="6"/>
        <rFont val="Times New Roman"/>
        <family val="1"/>
      </rPr>
      <t xml:space="preserve"> Caminhão Truck basculante</t>
    </r>
  </si>
  <si>
    <r>
      <t xml:space="preserve">53000 MDR Conv.899815/20 </t>
    </r>
    <r>
      <rPr>
        <sz val="6"/>
        <color indexed="8"/>
        <rFont val="Times New Roman"/>
        <family val="1"/>
      </rPr>
      <t>Dom Pedro II e Xirú - Fase II</t>
    </r>
    <r>
      <rPr>
        <sz val="6"/>
        <color indexed="10"/>
        <rFont val="Times New Roman"/>
        <family val="1"/>
      </rPr>
      <t xml:space="preserve"> c/ paralel.  </t>
    </r>
    <r>
      <rPr>
        <sz val="6"/>
        <color indexed="8"/>
        <rFont val="Times New Roman"/>
        <family val="1"/>
      </rPr>
      <t xml:space="preserve">899815/20 </t>
    </r>
    <r>
      <rPr>
        <sz val="6"/>
        <color indexed="10"/>
        <rFont val="Times New Roman"/>
        <family val="1"/>
      </rPr>
      <t xml:space="preserve">- 481.104,00 conta bancária </t>
    </r>
    <r>
      <rPr>
        <sz val="6"/>
        <rFont val="Times New Roman"/>
        <family val="1"/>
      </rPr>
      <t>000647106 - 7</t>
    </r>
  </si>
  <si>
    <t>SEAGROPIC</t>
  </si>
  <si>
    <r>
      <t>22000 MAPA Conv.</t>
    </r>
    <r>
      <rPr>
        <b/>
        <sz val="6"/>
        <rFont val="Times New Roman"/>
        <family val="1"/>
      </rPr>
      <t>911961/21</t>
    </r>
    <r>
      <rPr>
        <sz val="6"/>
        <rFont val="Times New Roman"/>
        <family val="1"/>
      </rPr>
      <t xml:space="preserve"> Veículo Utilitário p/ Inspetoria e UltraSom</t>
    </r>
  </si>
  <si>
    <t>SEDUC</t>
  </si>
  <si>
    <r>
      <t xml:space="preserve">55000 MC Conv </t>
    </r>
    <r>
      <rPr>
        <b/>
        <sz val="6"/>
        <rFont val="Times New Roman"/>
        <family val="1"/>
      </rPr>
      <t>899364/2020</t>
    </r>
    <r>
      <rPr>
        <sz val="6"/>
        <rFont val="Times New Roman"/>
        <family val="1"/>
      </rPr>
      <t xml:space="preserve"> Reforma da quadra da EMEF DB</t>
    </r>
  </si>
  <si>
    <t>SMAS</t>
  </si>
  <si>
    <r>
      <t xml:space="preserve">36211 FNS Conv </t>
    </r>
    <r>
      <rPr>
        <b/>
        <sz val="6"/>
        <rFont val="Times New Roman"/>
        <family val="1"/>
      </rPr>
      <t>857543/2017</t>
    </r>
    <r>
      <rPr>
        <sz val="6"/>
        <rFont val="Times New Roman"/>
        <family val="1"/>
      </rPr>
      <t xml:space="preserve"> Implantação de Melhorias Sanitárias</t>
    </r>
  </si>
  <si>
    <t>Total dos Recursos a Priorizar com documentos no SICONV¹</t>
  </si>
  <si>
    <t>F. Rec.</t>
  </si>
  <si>
    <t>Descrição dos convênios c/ depósitos</t>
  </si>
  <si>
    <t>A REPASSAR:</t>
  </si>
  <si>
    <t>REPASSADO:</t>
  </si>
  <si>
    <t>Contrapartida:</t>
  </si>
  <si>
    <t>Totais:</t>
  </si>
  <si>
    <t>SGM -  Parlamentar Reforma Ginásio Poliesportivo Heitor Schuch - PSB</t>
  </si>
  <si>
    <r>
      <t xml:space="preserve">SGM - Conv 305/22 Refor. </t>
    </r>
    <r>
      <rPr>
        <sz val="6"/>
        <color indexed="10"/>
        <rFont val="Times New Roman"/>
        <family val="1"/>
      </rPr>
      <t>Estádio</t>
    </r>
    <r>
      <rPr>
        <sz val="6"/>
        <color indexed="8"/>
        <rFont val="Times New Roman"/>
        <family val="1"/>
      </rPr>
      <t xml:space="preserve"> Munic. 20%22 EV 411.447,88- </t>
    </r>
    <r>
      <rPr>
        <sz val="6"/>
        <color indexed="10"/>
        <rFont val="Times New Roman"/>
        <family val="1"/>
      </rPr>
      <t>41825820 - 0</t>
    </r>
  </si>
  <si>
    <t>SMPMA - Emenda Parlamentar Aquisição Caminhão (Paulo Pimenta)</t>
  </si>
  <si>
    <r>
      <t xml:space="preserve">SECULTUR - FPE 470/22 Museu – </t>
    </r>
    <r>
      <rPr>
        <sz val="6"/>
        <color indexed="10"/>
        <rFont val="Times New Roman"/>
        <family val="1"/>
      </rPr>
      <t xml:space="preserve">41825080 – 3 </t>
    </r>
    <r>
      <rPr>
        <sz val="6"/>
        <color indexed="8"/>
        <rFont val="Times New Roman"/>
        <family val="1"/>
      </rPr>
      <t>EV:</t>
    </r>
    <r>
      <rPr>
        <sz val="6"/>
        <color indexed="10"/>
        <rFont val="Times New Roman"/>
        <family val="1"/>
      </rPr>
      <t xml:space="preserve"> </t>
    </r>
    <r>
      <rPr>
        <sz val="6"/>
        <color indexed="8"/>
        <rFont val="Times New Roman"/>
        <family val="1"/>
      </rPr>
      <t>22.286,30</t>
    </r>
  </si>
  <si>
    <t xml:space="preserve">SECULTUR - Área de Lazer no Forte Dom Pedro II </t>
  </si>
  <si>
    <t>SMTSUI - Dren R. João Francisco S. Godinho (Castelo Branco Cta 600672007 – 5)</t>
  </si>
  <si>
    <r>
      <t xml:space="preserve">SMTSUI - Pav. R João Batista </t>
    </r>
    <r>
      <rPr>
        <sz val="6"/>
        <color indexed="10"/>
        <rFont val="Times New Roman"/>
        <family val="1"/>
      </rPr>
      <t xml:space="preserve">Poglia 600672007-5- </t>
    </r>
    <r>
      <rPr>
        <sz val="6"/>
        <color indexed="8"/>
        <rFont val="Times New Roman"/>
        <family val="1"/>
      </rPr>
      <t>200.000,00</t>
    </r>
  </si>
  <si>
    <r>
      <t xml:space="preserve">SMTSUI - Conv:847883/2017 Pav. R. Ver. Luiz Coelho </t>
    </r>
    <r>
      <rPr>
        <sz val="6"/>
        <color indexed="10"/>
        <rFont val="Times New Roman"/>
        <family val="1"/>
      </rPr>
      <t>Leal 50%/22-Cta 600647098 - 2</t>
    </r>
  </si>
  <si>
    <t>SMTSUI - Emenda Pavim. da Rua Juca Medeiros (Paulo Pimenta)</t>
  </si>
  <si>
    <t>SMTSUI - Repasse Rua Tiradentes da União</t>
  </si>
  <si>
    <t>SMTSUI - Recurso para Pavimentação da Rua do Aterro</t>
  </si>
  <si>
    <t>SMS - Estruturação da Rede de Serviços Especializada</t>
  </si>
  <si>
    <t>SMS - Emenda Parlamentar União p/ a Saúde Adquirir Veículo Giovani Cherini - PL</t>
  </si>
  <si>
    <t>SMS - Rec. Estruturação da Rede de Serv. de Atenção Prim. de Saúde</t>
  </si>
  <si>
    <t>SEAGROPIC - FEP 305/22 Prog. Avançar SOPRS Perfuração de Poços - 100%/23 EV</t>
  </si>
  <si>
    <t>SEAGROPIC - Emenda Iluminação do Calçadão 50%/22 Cta: 600672011 - 3</t>
  </si>
  <si>
    <r>
      <t xml:space="preserve">SUBTOTAIS: </t>
    </r>
    <r>
      <rPr>
        <sz val="6"/>
        <color indexed="8"/>
        <rFont val="Times New Roman"/>
        <family val="1"/>
      </rPr>
      <t>Rec. que se não forem executados em 2022 devem ficar no orçamento p/ 2023:</t>
    </r>
  </si>
  <si>
    <t>ÓRGÃO</t>
  </si>
  <si>
    <t>Descrição:</t>
  </si>
  <si>
    <t>Repasse:</t>
  </si>
  <si>
    <t>TOTAIS:</t>
  </si>
  <si>
    <t>SGM</t>
  </si>
  <si>
    <t>Recuperação do Ginásio Ver. José Antônio Chaves Dias (Estado)</t>
  </si>
  <si>
    <t>SECULTUR</t>
  </si>
  <si>
    <t>Espaço Cultural Zeno Dias Chaves (estado)</t>
  </si>
  <si>
    <t>Revitalização da área da Cascata do Salso (Estado)</t>
  </si>
  <si>
    <t>Vila do Artesanato (Estado)</t>
  </si>
  <si>
    <t xml:space="preserve">Pav. Rua Olício Linhares e Av. Castelo Branco </t>
  </si>
  <si>
    <t>Reforma do Prédio Central da Prefeitura Municipal (2.022)</t>
  </si>
  <si>
    <t>Pav. Ruas Pedro F. Campos e Délia Simões Machado (2.022)</t>
  </si>
  <si>
    <t>Pav. Rua Dagoberto Barcelos (2.022)</t>
  </si>
  <si>
    <t>Pav. Victor Lang (2.022)</t>
  </si>
  <si>
    <t>Pav. Rua dos Nunes  (2.022)</t>
  </si>
  <si>
    <t>Pav. Rua Antônio Dourado  (2.022)</t>
  </si>
  <si>
    <t>Pav. Rua Jorge Amado  (2.022)</t>
  </si>
  <si>
    <r>
      <t xml:space="preserve">Conv: </t>
    </r>
    <r>
      <rPr>
        <b/>
        <sz val="6"/>
        <color indexed="8"/>
        <rFont val="Times New Roman"/>
        <family val="1"/>
      </rPr>
      <t>3179108</t>
    </r>
    <r>
      <rPr>
        <sz val="6"/>
        <color indexed="8"/>
        <rFont val="Times New Roman"/>
        <family val="1"/>
      </rPr>
      <t xml:space="preserve"> Reforma do Ginágio da Escola AVC - Mª do Rosário - PT</t>
    </r>
  </si>
  <si>
    <t>Construção de módulo Educ. IME Augusto Mª de L. Marques</t>
  </si>
  <si>
    <t>Reforma da EMEF Inocêncio Prates Chaves</t>
  </si>
  <si>
    <t>Ampliação da EMEI Iracema Cidade</t>
  </si>
  <si>
    <t>Ampliação da EMEF José Luis Moreira</t>
  </si>
  <si>
    <t>Quadra da EMEF Nª Srª das Graças</t>
  </si>
  <si>
    <t>SMS</t>
  </si>
  <si>
    <t>PROA</t>
  </si>
  <si>
    <t>Refgorma do CAPS Nº 19/2000-0046466-6 - 100%/22</t>
  </si>
  <si>
    <t>Veículo spin p/ Saúde (Marlon Santos)</t>
  </si>
  <si>
    <t>FPE 305/22 Cestas básicas p/ Assistência Social (Marlon Santos)</t>
  </si>
  <si>
    <t>Implantação de poço artesiano na Comunidade indígena Proposta 22005/22 V.</t>
  </si>
  <si>
    <r>
      <t>  SUBTOTAIS</t>
    </r>
    <r>
      <rPr>
        <sz val="6"/>
        <color indexed="8"/>
        <rFont val="Times New Roman"/>
        <family val="1"/>
      </rPr>
      <t>: Previsões de obras p/ 2023, no total não consta às c/ recursos:</t>
    </r>
  </si>
  <si>
    <t>Totais Gerais para 2022/2023</t>
  </si>
  <si>
    <t>Totais</t>
  </si>
  <si>
    <t>SMPMA</t>
  </si>
  <si>
    <t>Acréscimos</t>
  </si>
  <si>
    <t>Fonte: CNM - 2022</t>
  </si>
  <si>
    <t>Exercícios:</t>
  </si>
  <si>
    <t>Base para 2020</t>
  </si>
  <si>
    <t>Base para 2021</t>
  </si>
  <si>
    <t>Base para 2022</t>
  </si>
  <si>
    <t>Mês</t>
  </si>
  <si>
    <t>Valor Contábil/19</t>
  </si>
  <si>
    <t>IGP-DI</t>
  </si>
  <si>
    <t>Valor Corrigido/20</t>
  </si>
  <si>
    <t>Valor Contábil/20</t>
  </si>
  <si>
    <t xml:space="preserve"> IGP-DI</t>
  </si>
  <si>
    <t>Valor Corrigido/21</t>
  </si>
  <si>
    <t>Valor Contábil/22</t>
  </si>
  <si>
    <t>Valor Corrigido</t>
  </si>
  <si>
    <t>Janeiro</t>
  </si>
  <si>
    <t>Fevereiro</t>
  </si>
  <si>
    <t>Março</t>
  </si>
  <si>
    <t>Abril</t>
  </si>
  <si>
    <t>Maio</t>
  </si>
  <si>
    <t>Junho</t>
  </si>
  <si>
    <t>Julho</t>
  </si>
  <si>
    <t>Agosto</t>
  </si>
  <si>
    <t>Setembro</t>
  </si>
  <si>
    <t>Outubro</t>
  </si>
  <si>
    <t>Novembro</t>
  </si>
  <si>
    <t>Dezembro</t>
  </si>
  <si>
    <t>Base Total:</t>
  </si>
  <si>
    <t>Valor Corrigido do Duodécimo:</t>
  </si>
  <si>
    <t>Fonte Balancete Contábil de 2019 a 2021 e verificado com o PAD-SIAPC do TCE/RS de dezembro de 2019, 2020, e abril de 2022.</t>
  </si>
  <si>
    <t>Município</t>
  </si>
  <si>
    <t>União</t>
  </si>
  <si>
    <t>MEMÓRIA E METODOLOGIA DA APURAÇÃO DA RECEITA ORÇAMENTÁRIA PARA 2.023</t>
  </si>
  <si>
    <t>INPC 10,16%</t>
  </si>
  <si>
    <t>IPCA 10,42%</t>
  </si>
  <si>
    <t xml:space="preserve"> + PIB: 1,80%</t>
  </si>
  <si>
    <t>Nível:</t>
  </si>
  <si>
    <t>Descrição das Principais Receitas:</t>
  </si>
  <si>
    <t>Projetado 2022</t>
  </si>
  <si>
    <t>Realizado até Junho</t>
  </si>
  <si>
    <t>Projetada</t>
  </si>
  <si>
    <t>Total/2022:</t>
  </si>
  <si>
    <t>Parãmetros:</t>
  </si>
  <si>
    <t>1.1.1.3.03</t>
  </si>
  <si>
    <t>IRRF</t>
  </si>
  <si>
    <t>1.1.1.8.02.3</t>
  </si>
  <si>
    <t>IPTU</t>
  </si>
  <si>
    <t>1.1.1.8.01.4</t>
  </si>
  <si>
    <t>ITBI</t>
  </si>
  <si>
    <t>ISS</t>
  </si>
  <si>
    <t>1.1.2.8.01.1</t>
  </si>
  <si>
    <t>Taxas de Fiscalizacao Sanitária</t>
  </si>
  <si>
    <t>1.1.2.8.01.9</t>
  </si>
  <si>
    <t>Taxas de P. Policia</t>
  </si>
  <si>
    <t>1.1.2.8.02.9</t>
  </si>
  <si>
    <t>Taxas de Serviços</t>
  </si>
  <si>
    <t>1.1.3.8.04.1</t>
  </si>
  <si>
    <t>1.2.4.0.00.1</t>
  </si>
  <si>
    <t>Contribuição para o Custeio do Serviço de Iluminação Publica</t>
  </si>
  <si>
    <t>1.6.1.0.01.1.1.01</t>
  </si>
  <si>
    <t>Taxa de Administracao Negativa (Face Card)</t>
  </si>
  <si>
    <t>1.7.1.8.01.2.1</t>
  </si>
  <si>
    <t>Cota-Parte do FPM - Cota Mensal</t>
  </si>
  <si>
    <t>1.7.1.8.01.3.1</t>
  </si>
  <si>
    <t>Cota-Parte do FPM - 1% Cota entregue no mês de dezembro</t>
  </si>
  <si>
    <t>1.7.1.8.01.4.1</t>
  </si>
  <si>
    <t>Cota-Parte do FPM - 1% Cota entregue no mês de julho</t>
  </si>
  <si>
    <t>1.7.1.8.01.5.1</t>
  </si>
  <si>
    <t>Cota-Parte do ITR</t>
  </si>
  <si>
    <t xml:space="preserve"> Compens Financ Rec. Minerais - CFEM</t>
  </si>
  <si>
    <t>Cota-Parte do F Esp. do Petroleo - FEP</t>
  </si>
  <si>
    <t>Transf do SUS -Aten. Basic Rep F. a Fund</t>
  </si>
  <si>
    <t>1.7.1.8.05.1.1.</t>
  </si>
  <si>
    <t>Transferencias do Salario-Educacao</t>
  </si>
  <si>
    <t>Transf Direta FNDE</t>
  </si>
  <si>
    <t>Transf Rec. Fundo Nac. de Assist. Social</t>
  </si>
  <si>
    <t>1.7.1.8.06.1</t>
  </si>
  <si>
    <t>Transf. Financ. do ICMS Desoneração L.C. N 87/96</t>
  </si>
  <si>
    <t>1.7.2.8.01.1.1</t>
  </si>
  <si>
    <t>1.7.2.8.01.2.1</t>
  </si>
  <si>
    <t>1.7.2.8.01.3.1</t>
  </si>
  <si>
    <t>Cota-Parte do IPI – Municípios</t>
  </si>
  <si>
    <t>Receitas de Multas de Transito</t>
  </si>
  <si>
    <t>Transf Rec Est. Prog Saude - Fundo a Fun</t>
  </si>
  <si>
    <t>Transfe. Convenios p/ o Transporte Escolar</t>
  </si>
  <si>
    <t>1.7.2.8.01.4.1</t>
  </si>
  <si>
    <t>Contribuição de Intervenção no Domínio Econômico</t>
  </si>
  <si>
    <t>1.7.5.8.01.1.1</t>
  </si>
  <si>
    <t>Transferencias de Recursos do FUNDEB</t>
  </si>
  <si>
    <t>TOTAIS DAS PRINCIPAIS RECEITAS:</t>
  </si>
  <si>
    <t>METAS APURADAS DA RECEITA:</t>
  </si>
  <si>
    <t>Ano:</t>
  </si>
  <si>
    <t>Brasil</t>
  </si>
  <si>
    <t>RS</t>
  </si>
  <si>
    <t>Fonte:</t>
  </si>
  <si>
    <t>IBGE/Contas Regionais</t>
  </si>
  <si>
    <t>RECEITAS CORRENTES CONSOLIDADA ESTIMADAS</t>
  </si>
  <si>
    <t>DEDUÇÕES:</t>
  </si>
  <si>
    <t>( - ) PARA FORMAÇÃO DO FUNDEB</t>
  </si>
  <si>
    <t>( - )  DAS RECEIRTAS CORRENTES DO FAPS/RPPS</t>
  </si>
  <si>
    <t>( - )  DAS RECEIRTAS CORRENTES DO FASM</t>
  </si>
  <si>
    <t>RECEITA CORRENTE LIQUIDA ESTIMADA PARA 2023</t>
  </si>
  <si>
    <t>Fonte das Receitas  são os valores registrados no sistema PL - GOVBR para LDO/2023</t>
  </si>
  <si>
    <t>Prefeitura Municipal de Cacapava do Sul - RS</t>
  </si>
  <si>
    <t>Lei de Diretrizes Orçamentárias</t>
  </si>
  <si>
    <t>Anexo I - Estimativa das receitas</t>
  </si>
  <si>
    <t>Fontes de Financiamento dos Programas Governamentais</t>
  </si>
  <si>
    <t>Dados Enviados ao Legislativo</t>
  </si>
  <si>
    <t>Estimativa das Receitas Orçamentárias</t>
  </si>
  <si>
    <t>Situação: Em Elaboração       Fundamento Legal: LDO 2023       Data: 19/07/2022     Tipo: Projeto de Lei</t>
  </si>
  <si>
    <t>Unidade Gestora: CONSOLIDADO</t>
  </si>
  <si>
    <t>Receitas Previstas</t>
  </si>
  <si>
    <t>Especificação</t>
  </si>
  <si>
    <t>2.023</t>
  </si>
  <si>
    <t xml:space="preserve">  Receitas Correntes  </t>
  </si>
  <si>
    <t>Direta</t>
  </si>
  <si>
    <t xml:space="preserve"> 1.0.0.0.00.0.0.00.00.00 </t>
  </si>
  <si>
    <t xml:space="preserve"> Receitas Correntes </t>
  </si>
  <si>
    <t xml:space="preserve"> 1.1.0.0.00.0.0.00.00.00 </t>
  </si>
  <si>
    <t xml:space="preserve"> Impostos, Taxas e Contribuições de Melhoria </t>
  </si>
  <si>
    <t xml:space="preserve"> 1.2.0.0.00.0.0.00.00.00 </t>
  </si>
  <si>
    <t xml:space="preserve"> Contribuições </t>
  </si>
  <si>
    <t xml:space="preserve"> 1.3.0.0.00.0.0.00.00.00 </t>
  </si>
  <si>
    <t xml:space="preserve"> Receita Patrimonial </t>
  </si>
  <si>
    <t xml:space="preserve"> 1.4.0.0.00.0.0.00.00.00 </t>
  </si>
  <si>
    <t xml:space="preserve"> Receita Agropecuária </t>
  </si>
  <si>
    <t xml:space="preserve"> 1.6.0.0.00.0.0.00.00.00 </t>
  </si>
  <si>
    <t xml:space="preserve"> Receita de Serviços </t>
  </si>
  <si>
    <t xml:space="preserve"> 1.7.0.0.00.0.0.00.00.00 </t>
  </si>
  <si>
    <t xml:space="preserve"> Transferências Correntes </t>
  </si>
  <si>
    <t xml:space="preserve"> 1.9.0.0.00.0.0.00.00.00 </t>
  </si>
  <si>
    <t xml:space="preserve"> Outras Receitas Correntes </t>
  </si>
  <si>
    <t xml:space="preserve">  Receitas Correntes Intra-Orçamentárias  </t>
  </si>
  <si>
    <t xml:space="preserve"> 7.0.0.0.00.0.0.00.00.00 </t>
  </si>
  <si>
    <t xml:space="preserve"> Receitas Correntes Intraorçamentárias </t>
  </si>
  <si>
    <t xml:space="preserve"> 7.2.0.0.00.0.0.00.00.00 </t>
  </si>
  <si>
    <t xml:space="preserve"> 7.9.0.0.00.0.0.00.00.00 </t>
  </si>
  <si>
    <t xml:space="preserve">  Receitas de capital  </t>
  </si>
  <si>
    <t xml:space="preserve"> 2.0.0.0.00.0.0.00.00.00 </t>
  </si>
  <si>
    <t xml:space="preserve"> Receitas de Capital </t>
  </si>
  <si>
    <t xml:space="preserve"> 2.3.0.0.00.0.0.00.00.00 </t>
  </si>
  <si>
    <t xml:space="preserve"> Amortização de Empréstimos </t>
  </si>
  <si>
    <t xml:space="preserve"> 2.4.0.0.00.0.0.00.00.00 </t>
  </si>
  <si>
    <t xml:space="preserve"> Transferências de Capital </t>
  </si>
  <si>
    <t xml:space="preserve"> 2.9.0.0.00.0.0.00.00.00 </t>
  </si>
  <si>
    <t xml:space="preserve"> Outras Receitas de Capital </t>
  </si>
  <si>
    <t xml:space="preserve">  Total de Receitas  </t>
  </si>
  <si>
    <t xml:space="preserve">  Deduções da receita  </t>
  </si>
  <si>
    <t xml:space="preserve">  FUNDEB  </t>
  </si>
  <si>
    <t xml:space="preserve">  Total das Deduções  </t>
  </si>
  <si>
    <t xml:space="preserve">  Total Liquido das Receitas  </t>
  </si>
  <si>
    <t xml:space="preserve">  Total Geral  </t>
  </si>
  <si>
    <t>1º METODOLOGIA:</t>
  </si>
  <si>
    <t>CÁLCULO DA ESTIMATIVA DO PASEP PARA 2023</t>
  </si>
  <si>
    <t xml:space="preserve">  Total das Deduções  para o FUNDEB</t>
  </si>
  <si>
    <t>Total da Base para o PASEP prevista para 2023</t>
  </si>
  <si>
    <r>
      <rPr>
        <b/>
        <sz val="11"/>
        <color indexed="8"/>
        <rFont val="Calibri"/>
        <family val="2"/>
      </rPr>
      <t xml:space="preserve">Fonte: </t>
    </r>
    <r>
      <rPr>
        <sz val="10"/>
        <rFont val="Arial"/>
        <family val="0"/>
      </rPr>
      <t>Anexo I - Estimativa das receitas da LDO/2023</t>
    </r>
  </si>
  <si>
    <t>Percentual do PASEP sobre a RECEITA Orçamentária:</t>
  </si>
  <si>
    <t>Valor do PASEP Estimada para 2.023</t>
  </si>
  <si>
    <t>2º METODOLOGIA:</t>
  </si>
  <si>
    <t>CÁLCULO DE APURAÇÃO PARA A BASE DO PASEP PROJETADO PARA 2023.</t>
  </si>
  <si>
    <t>BASE DO PASEP SOBRE AS RECEITAS PROJETADA PARA 2023:</t>
  </si>
  <si>
    <t>1% DO PASEP PROJETADO PARA 2023</t>
  </si>
  <si>
    <t>RECEITA CORRENTE LÍQUIDA PARA CÁLCULO DOS ÍNDICES DE LIMITES DA DESPESA COM PESSOAL</t>
  </si>
  <si>
    <t>RECEITAS CORRENTES CONSOLIDADA - UG: 9999</t>
  </si>
  <si>
    <t>( - ) Deduções das Receitas Correntes do FAPS / RPPS</t>
  </si>
  <si>
    <t>( - ) Deduções das Receitas Correntes do FASM</t>
  </si>
  <si>
    <t>( - ) Deduções para formação do FUNDEB:</t>
  </si>
  <si>
    <t>1º Método:</t>
  </si>
  <si>
    <t>RCL Projetada para 2.023:</t>
  </si>
  <si>
    <t xml:space="preserve">  Total Liquido das Receitas  Consolidada:</t>
  </si>
  <si>
    <t xml:space="preserve">( - ) Deduções das  Receitas Correntes Intraorçamentárias </t>
  </si>
  <si>
    <t>( - ) Deduções das Receitas de Capital</t>
  </si>
  <si>
    <t>2º Método:</t>
  </si>
  <si>
    <t>RECEITAS CORRENTES PREFEITURA - UG:0000</t>
  </si>
  <si>
    <t>Deduções para formação do FUNDEB:</t>
  </si>
  <si>
    <t>3º Método:</t>
  </si>
</sst>
</file>

<file path=xl/styles.xml><?xml version="1.0" encoding="utf-8"?>
<styleSheet xmlns="http://schemas.openxmlformats.org/spreadsheetml/2006/main">
  <numFmts count="6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quot;R$&quot;* #,##0.00_-;\-&quot;R$&quot;* #,##0.00_-;_-&quot;R$&quot;* &quot;-&quot;??_-;_-@_-"/>
    <numFmt numFmtId="178" formatCode="&quot;R$ &quot;#,##0_);\(&quot;R$ &quot;#,##0\)"/>
    <numFmt numFmtId="179" formatCode="&quot;R$ &quot;#,##0_);[Red]\(&quot;R$ &quot;#,##0\)"/>
    <numFmt numFmtId="180" formatCode="&quot;R$ &quot;#,##0.00_);\(&quot;R$ &quot;#,##0.00\)"/>
    <numFmt numFmtId="181" formatCode="&quot;R$ &quot;#,##0.00_);[Red]\(&quot;R$ &quot;#,##0.00\)"/>
    <numFmt numFmtId="182" formatCode="_(&quot;R$ &quot;* #,##0_);_(&quot;R$ &quot;* \(#,##0\);_(&quot;R$ &quot;* &quot;-&quot;_);_(@_)"/>
    <numFmt numFmtId="183" formatCode="_(* #,##0_);_(* \(#,##0\);_(* &quot;-&quot;_);_(@_)"/>
    <numFmt numFmtId="184" formatCode="_(&quot;R$ &quot;* #,##0.00_);_(&quot;R$ &quot;* \(#,##0.00\);_(&quot;R$ &quot;* &quot;-&quot;??_);_(@_)"/>
    <numFmt numFmtId="185" formatCode="_(* #,##0.00_);_(* \(#,##0.00\);_(* &quot;-&quot;??_);_(@_)"/>
    <numFmt numFmtId="186" formatCode="&quot;R$&quot;\ #,##0_);\(&quot;R$&quot;\ #,##0\)"/>
    <numFmt numFmtId="187" formatCode="&quot;R$&quot;\ #,##0_);[Red]\(&quot;R$&quot;\ #,##0\)"/>
    <numFmt numFmtId="188" formatCode="&quot;R$&quot;\ #,##0.00_);\(&quot;R$&quot;\ #,##0.00\)"/>
    <numFmt numFmtId="189" formatCode="&quot;R$&quot;\ #,##0.00_);[Red]\(&quot;R$&quot;\ #,##0.00\)"/>
    <numFmt numFmtId="190" formatCode="_(&quot;R$&quot;\ * #,##0_);_(&quot;R$&quot;\ * \(#,##0\);_(&quot;R$&quot;\ * &quot;-&quot;_);_(@_)"/>
    <numFmt numFmtId="191" formatCode="_(&quot;R$&quot;\ * #,##0.00_);_(&quot;R$&quot;\ * \(#,##0.00\);_(&quot;R$&quot;\ * &quot;-&quot;??_);_(@_)"/>
    <numFmt numFmtId="192" formatCode="&quot;R$&quot;#,##0_);\(&quot;R$&quot;#,##0\)"/>
    <numFmt numFmtId="193" formatCode="&quot;R$&quot;#,##0_);[Red]\(&quot;R$&quot;#,##0\)"/>
    <numFmt numFmtId="194" formatCode="&quot;R$&quot;#,##0.00_);\(&quot;R$&quot;#,##0.00\)"/>
    <numFmt numFmtId="195" formatCode="&quot;R$&quot;#,##0.00_);[Red]\(&quot;R$&quot;#,##0.00\)"/>
    <numFmt numFmtId="196" formatCode="_(&quot;R$&quot;* #,##0_);_(&quot;R$&quot;* \(#,##0\);_(&quot;R$&quot;* &quot;-&quot;_);_(@_)"/>
    <numFmt numFmtId="197" formatCode="_(&quot;R$&quot;* #,##0.00_);_(&quot;R$&quot;* \(#,##0.00\);_(&quot;R$&quot;* &quot;-&quot;??_);_(@_)"/>
    <numFmt numFmtId="198" formatCode="0_);[Red]\(0\)"/>
    <numFmt numFmtId="199" formatCode="#,##0.0"/>
    <numFmt numFmtId="200" formatCode="mmm\-yy"/>
    <numFmt numFmtId="201" formatCode="d/m"/>
    <numFmt numFmtId="202" formatCode="d/m/yy"/>
    <numFmt numFmtId="203" formatCode="mmmm\-yy"/>
    <numFmt numFmtId="204" formatCode="d\-mmm"/>
    <numFmt numFmtId="205" formatCode="0.0"/>
    <numFmt numFmtId="206" formatCode="0.000"/>
    <numFmt numFmtId="207" formatCode="\ @"/>
    <numFmt numFmtId="208" formatCode="\ \ \ \ @"/>
    <numFmt numFmtId="209" formatCode="\ \ \ \ \ @"/>
    <numFmt numFmtId="210" formatCode="\ \ \ \ \ \ \ \ \ \ \ \ \ \ \ @"/>
    <numFmt numFmtId="211" formatCode="0.000%"/>
    <numFmt numFmtId="212" formatCode="[$-416]dddd\,\ d&quot; de &quot;mmmm&quot; de &quot;yyyy"/>
    <numFmt numFmtId="213" formatCode="00000"/>
    <numFmt numFmtId="214" formatCode="0&quot;.&quot;0&quot;.&quot;0&quot;.&quot;0&quot;.&quot;00&quot;.&quot;0&quot;.&quot;0"/>
    <numFmt numFmtId="215" formatCode="#,##0.00_ ;\-#,##0.00\ "/>
    <numFmt numFmtId="216" formatCode="_(* #,##0_);_(* \(#,##0\);_(* &quot;-&quot;??_);_(@_)"/>
    <numFmt numFmtId="217" formatCode="&quot;Sim&quot;;&quot;Sim&quot;;&quot;Não&quot;"/>
    <numFmt numFmtId="218" formatCode="&quot;Verdadeiro&quot;;&quot;Verdadeiro&quot;;&quot;Falso&quot;"/>
    <numFmt numFmtId="219" formatCode="&quot;Ativar&quot;;&quot;Ativar&quot;;&quot;Desativar&quot;"/>
    <numFmt numFmtId="220" formatCode="[$€-2]\ #,##0.00_);[Red]\([$€-2]\ #,##0.00\)"/>
    <numFmt numFmtId="221" formatCode="0&quot;.&quot;0&quot;.&quot;0&quot;.&quot;0&quot;.&quot;0&quot;.&quot;00&quot;.&quot;00"/>
    <numFmt numFmtId="222" formatCode="&quot;Ativado&quot;;&quot;Ativado&quot;;&quot;Desativado&quot;"/>
    <numFmt numFmtId="223" formatCode="0.0%"/>
    <numFmt numFmtId="224" formatCode="[$-416]_(\ #,##0.00_);_(&quot; -&quot;#,##0.00_);_(&quot; - &quot;??_);_(@_)"/>
  </numFmts>
  <fonts count="140">
    <font>
      <sz val="10"/>
      <name val="Arial"/>
      <family val="0"/>
    </font>
    <font>
      <b/>
      <sz val="12"/>
      <name val="Arial"/>
      <family val="2"/>
    </font>
    <font>
      <sz val="12"/>
      <name val="Arial"/>
      <family val="2"/>
    </font>
    <font>
      <b/>
      <sz val="12"/>
      <color indexed="17"/>
      <name val="Helv"/>
      <family val="0"/>
    </font>
    <font>
      <sz val="12"/>
      <color indexed="17"/>
      <name val="Helv"/>
      <family val="0"/>
    </font>
    <font>
      <b/>
      <sz val="10"/>
      <name val="Arial"/>
      <family val="2"/>
    </font>
    <font>
      <b/>
      <sz val="11"/>
      <name val="Arial"/>
      <family val="2"/>
    </font>
    <font>
      <b/>
      <sz val="10"/>
      <color indexed="57"/>
      <name val="Arial"/>
      <family val="2"/>
    </font>
    <font>
      <b/>
      <sz val="14"/>
      <color indexed="57"/>
      <name val="Arial"/>
      <family val="2"/>
    </font>
    <font>
      <b/>
      <sz val="14"/>
      <name val="Arial"/>
      <family val="2"/>
    </font>
    <font>
      <b/>
      <sz val="12"/>
      <name val="Helv"/>
      <family val="0"/>
    </font>
    <font>
      <b/>
      <i/>
      <sz val="12"/>
      <name val="Arial"/>
      <family val="2"/>
    </font>
    <font>
      <sz val="8"/>
      <name val="Times New Roman"/>
      <family val="1"/>
    </font>
    <font>
      <b/>
      <sz val="8"/>
      <name val="Times New Roman"/>
      <family val="1"/>
    </font>
    <font>
      <sz val="8"/>
      <name val="Arial"/>
      <family val="2"/>
    </font>
    <font>
      <b/>
      <sz val="8"/>
      <name val="Arial"/>
      <family val="2"/>
    </font>
    <font>
      <sz val="11"/>
      <name val="Arial"/>
      <family val="2"/>
    </font>
    <font>
      <b/>
      <u val="single"/>
      <sz val="12"/>
      <name val="Arial"/>
      <family val="2"/>
    </font>
    <font>
      <sz val="12"/>
      <name val="Helv"/>
      <family val="0"/>
    </font>
    <font>
      <sz val="9"/>
      <name val="Arial"/>
      <family val="2"/>
    </font>
    <font>
      <b/>
      <sz val="9"/>
      <name val="Arial"/>
      <family val="2"/>
    </font>
    <font>
      <sz val="9"/>
      <color indexed="17"/>
      <name val="Arial"/>
      <family val="2"/>
    </font>
    <font>
      <b/>
      <sz val="9"/>
      <color indexed="17"/>
      <name val="Arial"/>
      <family val="2"/>
    </font>
    <font>
      <b/>
      <i/>
      <sz val="11"/>
      <name val="Arial"/>
      <family val="2"/>
    </font>
    <font>
      <u val="single"/>
      <sz val="10"/>
      <color indexed="12"/>
      <name val="Arial"/>
      <family val="2"/>
    </font>
    <font>
      <u val="single"/>
      <sz val="10"/>
      <color indexed="36"/>
      <name val="Arial"/>
      <family val="2"/>
    </font>
    <font>
      <b/>
      <sz val="9"/>
      <name val="Wingdings"/>
      <family val="0"/>
    </font>
    <font>
      <sz val="11"/>
      <color indexed="8"/>
      <name val="Calibri"/>
      <family val="2"/>
    </font>
    <font>
      <sz val="14"/>
      <name val="Arial"/>
      <family val="2"/>
    </font>
    <font>
      <b/>
      <sz val="12"/>
      <color indexed="57"/>
      <name val="Arial"/>
      <family val="2"/>
    </font>
    <font>
      <sz val="14"/>
      <color indexed="17"/>
      <name val="Helv"/>
      <family val="0"/>
    </font>
    <font>
      <sz val="10"/>
      <color indexed="10"/>
      <name val="Arial"/>
      <family val="2"/>
    </font>
    <font>
      <b/>
      <sz val="10"/>
      <color indexed="8"/>
      <name val="Arial"/>
      <family val="2"/>
    </font>
    <font>
      <sz val="10"/>
      <color indexed="8"/>
      <name val="Arial"/>
      <family val="2"/>
    </font>
    <font>
      <b/>
      <sz val="11"/>
      <color indexed="8"/>
      <name val="Arial"/>
      <family val="2"/>
    </font>
    <font>
      <b/>
      <sz val="11"/>
      <name val="Times New Roman"/>
      <family val="1"/>
    </font>
    <font>
      <b/>
      <sz val="10"/>
      <name val="Helv"/>
      <family val="0"/>
    </font>
    <font>
      <b/>
      <sz val="11"/>
      <color indexed="8"/>
      <name val="Calibri"/>
      <family val="2"/>
    </font>
    <font>
      <b/>
      <sz val="11"/>
      <name val="Calibri"/>
      <family val="2"/>
    </font>
    <font>
      <sz val="11"/>
      <name val="Calibri"/>
      <family val="2"/>
    </font>
    <font>
      <b/>
      <sz val="11"/>
      <color indexed="17"/>
      <name val="Calibri"/>
      <family val="2"/>
    </font>
    <font>
      <sz val="12"/>
      <name val="Calibri"/>
      <family val="2"/>
    </font>
    <font>
      <b/>
      <sz val="12"/>
      <name val="Calibri"/>
      <family val="2"/>
    </font>
    <font>
      <b/>
      <sz val="10"/>
      <color indexed="10"/>
      <name val="Arial"/>
      <family val="2"/>
    </font>
    <font>
      <sz val="10"/>
      <color indexed="57"/>
      <name val="Arial"/>
      <family val="2"/>
    </font>
    <font>
      <b/>
      <sz val="12"/>
      <color indexed="10"/>
      <name val="Arial"/>
      <family val="2"/>
    </font>
    <font>
      <b/>
      <sz val="9"/>
      <color indexed="10"/>
      <name val="Arial"/>
      <family val="2"/>
    </font>
    <font>
      <b/>
      <sz val="11"/>
      <color indexed="10"/>
      <name val="Arial"/>
      <family val="2"/>
    </font>
    <font>
      <b/>
      <sz val="8"/>
      <color indexed="10"/>
      <name val="Times New Roman"/>
      <family val="1"/>
    </font>
    <font>
      <b/>
      <sz val="11"/>
      <color indexed="10"/>
      <name val="Calibri"/>
      <family val="2"/>
    </font>
    <font>
      <u val="single"/>
      <sz val="12"/>
      <name val="Arial"/>
      <family val="2"/>
    </font>
    <font>
      <sz val="6"/>
      <name val="Arial"/>
      <family val="2"/>
    </font>
    <font>
      <b/>
      <sz val="8"/>
      <name val="Helv"/>
      <family val="0"/>
    </font>
    <font>
      <b/>
      <sz val="9"/>
      <name val="Helv"/>
      <family val="0"/>
    </font>
    <font>
      <sz val="8"/>
      <name val="Calibri"/>
      <family val="2"/>
    </font>
    <font>
      <b/>
      <sz val="8"/>
      <name val="Calibri"/>
      <family val="2"/>
    </font>
    <font>
      <b/>
      <sz val="8"/>
      <color indexed="8"/>
      <name val="Calibri"/>
      <family val="2"/>
    </font>
    <font>
      <sz val="8"/>
      <color indexed="17"/>
      <name val="Calibri"/>
      <family val="2"/>
    </font>
    <font>
      <sz val="8"/>
      <color indexed="17"/>
      <name val="Helv"/>
      <family val="0"/>
    </font>
    <font>
      <b/>
      <sz val="8"/>
      <color indexed="17"/>
      <name val="Helv"/>
      <family val="0"/>
    </font>
    <font>
      <sz val="10"/>
      <color indexed="8"/>
      <name val="LucidaSansRegular"/>
      <family val="0"/>
    </font>
    <font>
      <sz val="7"/>
      <name val="Arial"/>
      <family val="2"/>
    </font>
    <font>
      <u val="single"/>
      <vertAlign val="superscript"/>
      <sz val="8"/>
      <name val="Arial"/>
      <family val="2"/>
    </font>
    <font>
      <b/>
      <sz val="9"/>
      <name val="Times New Roman"/>
      <family val="1"/>
    </font>
    <font>
      <sz val="6"/>
      <name val="Times New Roman"/>
      <family val="1"/>
    </font>
    <font>
      <sz val="6"/>
      <color indexed="8"/>
      <name val="Times New Roman"/>
      <family val="1"/>
    </font>
    <font>
      <b/>
      <sz val="6"/>
      <name val="Times New Roman"/>
      <family val="1"/>
    </font>
    <font>
      <sz val="6"/>
      <color indexed="10"/>
      <name val="Times New Roman"/>
      <family val="1"/>
    </font>
    <font>
      <sz val="11"/>
      <name val="Times New Roman"/>
      <family val="1"/>
    </font>
    <font>
      <b/>
      <sz val="6"/>
      <color indexed="8"/>
      <name val="Times New Roman"/>
      <family val="1"/>
    </font>
    <font>
      <sz val="10"/>
      <name val="Times New Roman"/>
      <family val="1"/>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0"/>
      <color indexed="17"/>
      <name val="Arial"/>
      <family val="2"/>
    </font>
    <font>
      <sz val="6"/>
      <color indexed="8"/>
      <name val="Arial"/>
      <family val="2"/>
    </font>
    <font>
      <b/>
      <sz val="6"/>
      <color indexed="8"/>
      <name val="Arial"/>
      <family val="2"/>
    </font>
    <font>
      <sz val="8"/>
      <color indexed="10"/>
      <name val="Arial"/>
      <family val="2"/>
    </font>
    <font>
      <b/>
      <sz val="6"/>
      <color indexed="10"/>
      <name val="Times New Roman"/>
      <family val="1"/>
    </font>
    <font>
      <sz val="8"/>
      <color indexed="8"/>
      <name val="Calibri"/>
      <family val="2"/>
    </font>
    <font>
      <b/>
      <sz val="6"/>
      <color indexed="8"/>
      <name val="Calibri"/>
      <family val="2"/>
    </font>
    <font>
      <sz val="6"/>
      <color indexed="8"/>
      <name val="Calibri"/>
      <family val="2"/>
    </font>
    <font>
      <sz val="6"/>
      <color indexed="8"/>
      <name val="Courier"/>
      <family val="3"/>
    </font>
    <font>
      <sz val="6"/>
      <color indexed="10"/>
      <name val="Calibri"/>
      <family val="2"/>
    </font>
    <font>
      <sz val="8"/>
      <color indexed="8"/>
      <name val="Arial"/>
      <family val="2"/>
    </font>
    <font>
      <sz val="10"/>
      <color indexed="8"/>
      <name val="Calibri"/>
      <family val="2"/>
    </font>
    <font>
      <i/>
      <sz val="11"/>
      <color indexed="8"/>
      <name val="Calibri"/>
      <family val="2"/>
    </font>
    <font>
      <sz val="12"/>
      <color indexed="8"/>
      <name val="Calibri"/>
      <family val="2"/>
    </font>
    <font>
      <sz val="12"/>
      <color indexed="8"/>
      <name val="Arial"/>
      <family val="2"/>
    </font>
    <font>
      <b/>
      <sz val="12"/>
      <color indexed="8"/>
      <name val="Calibri"/>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B050"/>
      <name val="Arial"/>
      <family val="2"/>
    </font>
    <font>
      <sz val="6"/>
      <color rgb="FF000000"/>
      <name val="Arial"/>
      <family val="2"/>
    </font>
    <font>
      <b/>
      <sz val="6"/>
      <color rgb="FF000000"/>
      <name val="Arial"/>
      <family val="2"/>
    </font>
    <font>
      <sz val="10"/>
      <color rgb="FFFF0000"/>
      <name val="Arial"/>
      <family val="2"/>
    </font>
    <font>
      <sz val="8"/>
      <color rgb="FFFF0000"/>
      <name val="Arial"/>
      <family val="2"/>
    </font>
    <font>
      <sz val="6"/>
      <color rgb="FFFF0000"/>
      <name val="Times New Roman"/>
      <family val="1"/>
    </font>
    <font>
      <sz val="6"/>
      <color rgb="FF000000"/>
      <name val="Times New Roman"/>
      <family val="1"/>
    </font>
    <font>
      <b/>
      <sz val="6"/>
      <color rgb="FF000000"/>
      <name val="Times New Roman"/>
      <family val="1"/>
    </font>
    <font>
      <b/>
      <sz val="6"/>
      <color rgb="FFFF0000"/>
      <name val="Times New Roman"/>
      <family val="1"/>
    </font>
    <font>
      <sz val="8"/>
      <color rgb="FF000000"/>
      <name val="Calibri"/>
      <family val="2"/>
    </font>
    <font>
      <b/>
      <sz val="6"/>
      <color rgb="FF000000"/>
      <name val="Calibri"/>
      <family val="2"/>
    </font>
    <font>
      <sz val="8"/>
      <color theme="1"/>
      <name val="Calibri"/>
      <family val="2"/>
    </font>
    <font>
      <sz val="6"/>
      <color theme="1"/>
      <name val="Calibri"/>
      <family val="2"/>
    </font>
    <font>
      <b/>
      <sz val="6"/>
      <color theme="1"/>
      <name val="Calibri"/>
      <family val="2"/>
    </font>
    <font>
      <sz val="6"/>
      <color theme="1"/>
      <name val="Courier"/>
      <family val="3"/>
    </font>
    <font>
      <sz val="6"/>
      <color rgb="FFFF0000"/>
      <name val="Calibri"/>
      <family val="2"/>
    </font>
    <font>
      <sz val="6"/>
      <color theme="1"/>
      <name val="Times New Roman"/>
      <family val="1"/>
    </font>
    <font>
      <b/>
      <sz val="10"/>
      <color rgb="FFFF0000"/>
      <name val="Arial"/>
      <family val="2"/>
    </font>
    <font>
      <sz val="8"/>
      <color rgb="FF000000"/>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gray0625">
        <bgColor indexed="9"/>
      </patternFill>
    </fill>
    <fill>
      <patternFill patternType="solid">
        <fgColor indexed="41"/>
        <bgColor indexed="64"/>
      </patternFill>
    </fill>
    <fill>
      <patternFill patternType="solid">
        <fgColor indexed="27"/>
        <bgColor indexed="64"/>
      </patternFill>
    </fill>
    <fill>
      <patternFill patternType="solid">
        <fgColor indexed="27"/>
        <bgColor indexed="64"/>
      </patternFill>
    </fill>
    <fill>
      <patternFill patternType="solid">
        <fgColor indexed="8"/>
        <bgColor indexed="64"/>
      </patternFill>
    </fill>
    <fill>
      <patternFill patternType="solid">
        <fgColor indexed="15"/>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D8D8D8"/>
        <bgColor indexed="64"/>
      </patternFill>
    </fill>
    <fill>
      <patternFill patternType="solid">
        <fgColor rgb="FFCCFF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style="hair"/>
      <top>
        <color indexed="63"/>
      </top>
      <bottom>
        <color indexed="63"/>
      </bottom>
    </border>
    <border>
      <left>
        <color indexed="63"/>
      </left>
      <right style="hair"/>
      <top>
        <color indexed="63"/>
      </top>
      <bottom style="double"/>
    </border>
    <border>
      <left style="hair"/>
      <right style="hair"/>
      <top>
        <color indexed="63"/>
      </top>
      <bottom style="double"/>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color indexed="9"/>
      </left>
      <right style="thin">
        <color indexed="9"/>
      </right>
      <top style="thin">
        <color indexed="9"/>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hair"/>
      <top style="dashed"/>
      <bottom>
        <color indexed="63"/>
      </bottom>
    </border>
    <border>
      <left style="hair"/>
      <right style="hair"/>
      <top style="dashed"/>
      <bottom>
        <color indexed="63"/>
      </bottom>
    </border>
    <border>
      <left style="hair"/>
      <right>
        <color indexed="63"/>
      </right>
      <top style="dashed"/>
      <bottom>
        <color indexed="63"/>
      </bottom>
    </border>
    <border>
      <left style="hair"/>
      <right style="dashed"/>
      <top style="dashed"/>
      <bottom>
        <color indexed="63"/>
      </bottom>
    </border>
    <border>
      <left>
        <color indexed="63"/>
      </left>
      <right style="thin"/>
      <top style="thin"/>
      <bottom style="thin"/>
    </border>
    <border>
      <left>
        <color indexed="63"/>
      </left>
      <right>
        <color indexed="63"/>
      </right>
      <top style="thin">
        <color indexed="9"/>
      </top>
      <bottom style="thin"/>
    </border>
    <border>
      <left>
        <color indexed="63"/>
      </left>
      <right style="thin">
        <color indexed="9"/>
      </right>
      <top style="thin">
        <color indexed="9"/>
      </top>
      <bottom style="thin"/>
    </border>
    <border>
      <left style="thin">
        <color indexed="9"/>
      </left>
      <right style="thin">
        <color indexed="9"/>
      </right>
      <top>
        <color indexed="63"/>
      </top>
      <bottom style="thin"/>
    </border>
    <border>
      <left style="thin">
        <color indexed="9"/>
      </left>
      <right>
        <color indexed="63"/>
      </right>
      <top style="thin">
        <color indexed="9"/>
      </top>
      <bottom style="thin"/>
    </border>
    <border>
      <left style="thin">
        <color indexed="9"/>
      </left>
      <right style="thin">
        <color indexed="9"/>
      </right>
      <top>
        <color indexed="63"/>
      </top>
      <bottom>
        <color indexed="63"/>
      </bottom>
    </border>
    <border>
      <left style="medium"/>
      <right>
        <color indexed="63"/>
      </right>
      <top style="medium"/>
      <bottom style="medium"/>
    </border>
    <border>
      <left>
        <color indexed="63"/>
      </left>
      <right style="thin"/>
      <top style="thin"/>
      <bottom>
        <color indexed="63"/>
      </bottom>
    </border>
    <border>
      <left style="thin"/>
      <right style="thin"/>
      <top style="thin"/>
      <bottom style="thin">
        <color indexed="9"/>
      </bottom>
    </border>
    <border>
      <left>
        <color indexed="63"/>
      </left>
      <right style="thin"/>
      <top style="thin"/>
      <bottom style="thin">
        <color indexed="9"/>
      </bottom>
    </border>
    <border>
      <left style="thin"/>
      <right style="thin"/>
      <top style="thin">
        <color indexed="9"/>
      </top>
      <bottom style="thin">
        <color indexed="9"/>
      </bottom>
    </border>
    <border>
      <left>
        <color indexed="63"/>
      </left>
      <right style="thin"/>
      <top style="thin">
        <color indexed="9"/>
      </top>
      <bottom style="thin">
        <color indexed="9"/>
      </bottom>
    </border>
    <border>
      <left style="thin"/>
      <right style="thin"/>
      <top style="thin">
        <color indexed="9"/>
      </top>
      <bottom style="thin"/>
    </border>
    <border>
      <left>
        <color indexed="63"/>
      </left>
      <right style="thin"/>
      <top style="thin">
        <color indexed="9"/>
      </top>
      <bottom style="thin"/>
    </border>
    <border>
      <left style="thin"/>
      <right style="thin"/>
      <top style="thin">
        <color indexed="9"/>
      </top>
      <bottom>
        <color indexed="63"/>
      </bottom>
    </border>
    <border>
      <left style="medium"/>
      <right style="medium"/>
      <top style="medium"/>
      <bottom style="medium"/>
    </border>
    <border>
      <left style="medium"/>
      <right style="medium"/>
      <top>
        <color indexed="63"/>
      </top>
      <bottom style="mediu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right style="thin">
        <color rgb="FFFFFFFF"/>
      </right>
      <top/>
      <bottom/>
    </border>
    <border>
      <left style="thin">
        <color rgb="FFFFFFFF"/>
      </left>
      <right/>
      <top/>
      <bottom/>
    </border>
    <border>
      <left>
        <color indexed="63"/>
      </left>
      <right>
        <color indexed="63"/>
      </right>
      <top style="thin">
        <color rgb="FFFFFFFF"/>
      </top>
      <bottom>
        <color indexed="63"/>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top style="thin">
        <color rgb="FFFFFFFF"/>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thin">
        <color indexed="9"/>
      </left>
      <right/>
      <top/>
      <bottom/>
    </border>
    <border>
      <left/>
      <right style="thin">
        <color rgb="FF000000"/>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style="thin">
        <color rgb="FF000000"/>
      </top>
      <bottom/>
    </border>
    <border>
      <left/>
      <right/>
      <top/>
      <bottom style="thin">
        <color rgb="FFFFFFFF"/>
      </bottom>
    </border>
    <border>
      <left style="thin">
        <color rgb="FFFFFFFF"/>
      </left>
      <right style="thin">
        <color rgb="FFFFFFFF"/>
      </right>
      <top style="thin">
        <color rgb="FFFFFFFF"/>
      </top>
      <bottom style="thin">
        <color rgb="FFFFFFFF"/>
      </bottom>
    </border>
    <border>
      <left>
        <color indexed="63"/>
      </left>
      <right>
        <color indexed="63"/>
      </right>
      <top style="thin">
        <color rgb="FFFFFFFF"/>
      </top>
      <bottom style="thin">
        <color rgb="FFFFFFFF"/>
      </bottom>
    </border>
    <border>
      <left>
        <color indexed="63"/>
      </left>
      <right style="thin">
        <color rgb="FFFFFFFF"/>
      </right>
      <top style="thin">
        <color rgb="FFFFFFFF"/>
      </top>
      <bottom style="thin">
        <color rgb="FFFFFFF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right/>
      <top style="hair"/>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6" fillId="20" borderId="0" applyNumberFormat="0" applyBorder="0" applyAlignment="0" applyProtection="0"/>
    <xf numFmtId="0" fontId="107" fillId="21" borderId="1" applyNumberFormat="0" applyAlignment="0" applyProtection="0"/>
    <xf numFmtId="0" fontId="108" fillId="22" borderId="2" applyNumberFormat="0" applyAlignment="0" applyProtection="0"/>
    <xf numFmtId="0" fontId="109" fillId="0" borderId="3" applyNumberFormat="0" applyFill="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05" fillId="27" borderId="0" applyNumberFormat="0" applyBorder="0" applyAlignment="0" applyProtection="0"/>
    <xf numFmtId="0" fontId="105" fillId="28" borderId="0" applyNumberFormat="0" applyBorder="0" applyAlignment="0" applyProtection="0"/>
    <xf numFmtId="0" fontId="110" fillId="29" borderId="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111" fillId="30" borderId="0" applyNumberFormat="0" applyBorder="0" applyAlignment="0" applyProtection="0"/>
    <xf numFmtId="0" fontId="0" fillId="0" borderId="0">
      <alignment/>
      <protection/>
    </xf>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112" fillId="32" borderId="0" applyNumberFormat="0" applyBorder="0" applyAlignment="0" applyProtection="0"/>
    <xf numFmtId="0" fontId="113" fillId="21" borderId="5" applyNumberFormat="0" applyAlignment="0" applyProtection="0"/>
    <xf numFmtId="183" fontId="0"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6" applyNumberFormat="0" applyFill="0" applyAlignment="0" applyProtection="0"/>
    <xf numFmtId="0" fontId="118" fillId="0" borderId="7" applyNumberFormat="0" applyFill="0" applyAlignment="0" applyProtection="0"/>
    <xf numFmtId="0" fontId="119" fillId="0" borderId="8" applyNumberFormat="0" applyFill="0" applyAlignment="0" applyProtection="0"/>
    <xf numFmtId="0" fontId="119" fillId="0" borderId="0" applyNumberFormat="0" applyFill="0" applyBorder="0" applyAlignment="0" applyProtection="0"/>
    <xf numFmtId="0" fontId="120" fillId="0" borderId="9" applyNumberFormat="0" applyFill="0" applyAlignment="0" applyProtection="0"/>
    <xf numFmtId="185" fontId="0" fillId="0" borderId="0" applyFont="0" applyFill="0" applyBorder="0" applyAlignment="0" applyProtection="0"/>
  </cellStyleXfs>
  <cellXfs count="998">
    <xf numFmtId="0" fontId="0" fillId="0" borderId="0" xfId="0" applyAlignment="1">
      <alignment/>
    </xf>
    <xf numFmtId="38" fontId="4" fillId="0" borderId="0" xfId="0" applyNumberFormat="1" applyFont="1" applyAlignment="1" applyProtection="1">
      <alignment/>
      <protection locked="0"/>
    </xf>
    <xf numFmtId="38" fontId="4" fillId="0" borderId="0" xfId="0" applyNumberFormat="1" applyFont="1" applyBorder="1" applyAlignment="1" applyProtection="1">
      <alignment/>
      <protection locked="0"/>
    </xf>
    <xf numFmtId="38" fontId="3" fillId="0" borderId="0" xfId="0" applyNumberFormat="1" applyFont="1" applyAlignment="1" applyProtection="1">
      <alignment/>
      <protection locked="0"/>
    </xf>
    <xf numFmtId="38" fontId="4" fillId="0" borderId="0" xfId="0" applyNumberFormat="1" applyFont="1" applyAlignment="1">
      <alignment/>
    </xf>
    <xf numFmtId="38" fontId="3" fillId="0" borderId="0" xfId="0" applyNumberFormat="1" applyFont="1" applyBorder="1" applyAlignment="1" applyProtection="1">
      <alignment/>
      <protection locked="0"/>
    </xf>
    <xf numFmtId="9" fontId="4" fillId="33" borderId="0" xfId="52" applyFont="1" applyFill="1" applyBorder="1" applyAlignment="1" applyProtection="1">
      <alignment/>
      <protection locked="0"/>
    </xf>
    <xf numFmtId="0" fontId="5" fillId="0" borderId="0" xfId="0" applyFont="1" applyAlignment="1">
      <alignment/>
    </xf>
    <xf numFmtId="0" fontId="7" fillId="34" borderId="0" xfId="0" applyFont="1" applyFill="1" applyAlignment="1">
      <alignment/>
    </xf>
    <xf numFmtId="0" fontId="8" fillId="34" borderId="0" xfId="0" applyFont="1" applyFill="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16" fillId="0" borderId="0" xfId="0" applyFont="1" applyAlignment="1">
      <alignment/>
    </xf>
    <xf numFmtId="0" fontId="16" fillId="0" borderId="0" xfId="0" applyFont="1" applyAlignment="1">
      <alignment horizontal="center" vertical="center"/>
    </xf>
    <xf numFmtId="0" fontId="17" fillId="0" borderId="0" xfId="0" applyFont="1" applyBorder="1" applyAlignment="1" applyProtection="1">
      <alignment horizontal="left"/>
      <protection locked="0"/>
    </xf>
    <xf numFmtId="38" fontId="18" fillId="0" borderId="0" xfId="0" applyNumberFormat="1" applyFont="1" applyBorder="1" applyAlignment="1" applyProtection="1">
      <alignment horizontal="centerContinuous"/>
      <protection locked="0"/>
    </xf>
    <xf numFmtId="0" fontId="1" fillId="33" borderId="0" xfId="0" applyFont="1" applyFill="1" applyBorder="1" applyAlignment="1" applyProtection="1">
      <alignment/>
      <protection locked="0"/>
    </xf>
    <xf numFmtId="0" fontId="1" fillId="0" borderId="0" xfId="0" applyFont="1" applyBorder="1" applyAlignment="1" applyProtection="1">
      <alignment horizontal="center"/>
      <protection locked="0"/>
    </xf>
    <xf numFmtId="0" fontId="11" fillId="33" borderId="0" xfId="0" applyFont="1" applyFill="1" applyBorder="1" applyAlignment="1" applyProtection="1">
      <alignment horizontal="right"/>
      <protection locked="0"/>
    </xf>
    <xf numFmtId="0" fontId="10" fillId="33" borderId="0" xfId="0" applyNumberFormat="1" applyFont="1" applyFill="1" applyBorder="1" applyAlignment="1" applyProtection="1">
      <alignment horizontal="left" vertical="center"/>
      <protection locked="0"/>
    </xf>
    <xf numFmtId="38" fontId="18" fillId="0" borderId="0" xfId="0" applyNumberFormat="1" applyFont="1" applyAlignment="1" applyProtection="1">
      <alignment/>
      <protection locked="0"/>
    </xf>
    <xf numFmtId="198" fontId="10" fillId="34" borderId="10" xfId="0" applyNumberFormat="1" applyFont="1" applyFill="1" applyBorder="1" applyAlignment="1" applyProtection="1">
      <alignment horizontal="center"/>
      <protection locked="0"/>
    </xf>
    <xf numFmtId="198" fontId="10" fillId="34" borderId="11" xfId="0" applyNumberFormat="1" applyFont="1" applyFill="1" applyBorder="1" applyAlignment="1" applyProtection="1">
      <alignment horizontal="center"/>
      <protection locked="0"/>
    </xf>
    <xf numFmtId="38" fontId="10" fillId="0" borderId="10" xfId="0" applyNumberFormat="1" applyFont="1" applyBorder="1" applyAlignment="1" applyProtection="1">
      <alignment/>
      <protection locked="0"/>
    </xf>
    <xf numFmtId="38" fontId="10" fillId="0" borderId="11" xfId="0" applyNumberFormat="1" applyFont="1" applyBorder="1" applyAlignment="1" applyProtection="1">
      <alignment/>
      <protection locked="0"/>
    </xf>
    <xf numFmtId="38" fontId="10" fillId="33" borderId="11" xfId="0" applyNumberFormat="1" applyFont="1" applyFill="1" applyBorder="1" applyAlignment="1" applyProtection="1">
      <alignment/>
      <protection locked="0"/>
    </xf>
    <xf numFmtId="38" fontId="10" fillId="0" borderId="12" xfId="0" applyNumberFormat="1" applyFont="1" applyBorder="1" applyAlignment="1" applyProtection="1">
      <alignment/>
      <protection locked="0"/>
    </xf>
    <xf numFmtId="38" fontId="10" fillId="33" borderId="13" xfId="0" applyNumberFormat="1" applyFont="1" applyFill="1" applyBorder="1" applyAlignment="1" applyProtection="1">
      <alignment/>
      <protection locked="0"/>
    </xf>
    <xf numFmtId="38" fontId="10" fillId="0" borderId="14" xfId="0" applyNumberFormat="1" applyFont="1" applyBorder="1" applyAlignment="1" applyProtection="1">
      <alignment/>
      <protection locked="0"/>
    </xf>
    <xf numFmtId="0" fontId="19" fillId="0" borderId="0" xfId="0" applyFont="1" applyAlignment="1">
      <alignment/>
    </xf>
    <xf numFmtId="0" fontId="19" fillId="0" borderId="0" xfId="0" applyFont="1" applyAlignment="1">
      <alignment/>
    </xf>
    <xf numFmtId="3" fontId="19" fillId="0" borderId="0" xfId="0" applyNumberFormat="1" applyFont="1" applyAlignment="1">
      <alignment/>
    </xf>
    <xf numFmtId="0" fontId="20" fillId="0" borderId="0" xfId="0" applyFont="1" applyAlignment="1">
      <alignment/>
    </xf>
    <xf numFmtId="4" fontId="19" fillId="33" borderId="0" xfId="52" applyNumberFormat="1" applyFont="1" applyFill="1" applyBorder="1" applyAlignment="1">
      <alignment/>
    </xf>
    <xf numFmtId="0" fontId="19" fillId="0" borderId="0" xfId="0" applyFont="1" applyFill="1" applyAlignment="1">
      <alignment/>
    </xf>
    <xf numFmtId="0" fontId="22" fillId="0" borderId="0" xfId="0" applyFont="1" applyAlignment="1">
      <alignment/>
    </xf>
    <xf numFmtId="0" fontId="21" fillId="0" borderId="0" xfId="0" applyFont="1" applyAlignment="1">
      <alignment/>
    </xf>
    <xf numFmtId="0" fontId="19" fillId="0" borderId="0" xfId="0" applyFont="1" applyBorder="1" applyAlignment="1">
      <alignment horizontal="center"/>
    </xf>
    <xf numFmtId="10" fontId="0" fillId="0" borderId="0" xfId="0" applyNumberFormat="1" applyAlignment="1">
      <alignment/>
    </xf>
    <xf numFmtId="185" fontId="0" fillId="0" borderId="15" xfId="0" applyNumberFormat="1" applyFont="1" applyFill="1" applyBorder="1" applyAlignment="1">
      <alignment/>
    </xf>
    <xf numFmtId="0" fontId="19" fillId="0" borderId="0" xfId="0" applyFont="1" applyBorder="1" applyAlignment="1">
      <alignment/>
    </xf>
    <xf numFmtId="0" fontId="0" fillId="0" borderId="0" xfId="0" applyFont="1" applyFill="1" applyAlignment="1">
      <alignment/>
    </xf>
    <xf numFmtId="0" fontId="0" fillId="0" borderId="0" xfId="0" applyFont="1" applyFill="1" applyAlignment="1">
      <alignment horizontal="center" vertical="center"/>
    </xf>
    <xf numFmtId="0" fontId="12" fillId="0" borderId="16" xfId="0" applyFont="1" applyBorder="1" applyAlignment="1">
      <alignment horizontal="left"/>
    </xf>
    <xf numFmtId="0" fontId="0" fillId="0" borderId="16" xfId="0" applyFont="1" applyFill="1" applyBorder="1" applyAlignment="1">
      <alignment horizontal="left"/>
    </xf>
    <xf numFmtId="0" fontId="23" fillId="0" borderId="0" xfId="0" applyFont="1" applyAlignment="1">
      <alignment/>
    </xf>
    <xf numFmtId="4" fontId="6" fillId="33" borderId="0" xfId="52" applyNumberFormat="1" applyFont="1" applyFill="1" applyBorder="1" applyAlignment="1">
      <alignment/>
    </xf>
    <xf numFmtId="4" fontId="16" fillId="33" borderId="0" xfId="52" applyNumberFormat="1" applyFont="1" applyFill="1" applyBorder="1" applyAlignment="1">
      <alignment/>
    </xf>
    <xf numFmtId="0" fontId="6" fillId="0" borderId="0" xfId="0" applyFont="1" applyAlignment="1">
      <alignment/>
    </xf>
    <xf numFmtId="4" fontId="16" fillId="0" borderId="0" xfId="0" applyNumberFormat="1" applyFont="1" applyBorder="1" applyAlignment="1">
      <alignment/>
    </xf>
    <xf numFmtId="0" fontId="23" fillId="0" borderId="0" xfId="0" applyFont="1" applyAlignment="1">
      <alignment horizontal="right"/>
    </xf>
    <xf numFmtId="0" fontId="0" fillId="0" borderId="17" xfId="0" applyFont="1" applyFill="1" applyBorder="1" applyAlignment="1">
      <alignment horizontal="center"/>
    </xf>
    <xf numFmtId="0" fontId="0" fillId="0" borderId="0" xfId="0" applyFont="1" applyFill="1" applyAlignment="1">
      <alignment/>
    </xf>
    <xf numFmtId="3" fontId="0" fillId="0" borderId="0" xfId="0" applyNumberFormat="1" applyFont="1" applyFill="1" applyAlignment="1">
      <alignment/>
    </xf>
    <xf numFmtId="0" fontId="0" fillId="0" borderId="18" xfId="0" applyFont="1" applyFill="1" applyBorder="1" applyAlignment="1">
      <alignment horizontal="left"/>
    </xf>
    <xf numFmtId="181" fontId="0" fillId="0" borderId="18" xfId="0" applyNumberFormat="1" applyFont="1" applyFill="1" applyBorder="1" applyAlignment="1">
      <alignment horizontal="left"/>
    </xf>
    <xf numFmtId="185" fontId="16" fillId="0" borderId="15" xfId="0" applyNumberFormat="1" applyFont="1" applyFill="1" applyBorder="1" applyAlignment="1" applyProtection="1">
      <alignment/>
      <protection locked="0"/>
    </xf>
    <xf numFmtId="3" fontId="16" fillId="0" borderId="0" xfId="0" applyNumberFormat="1" applyFont="1" applyBorder="1" applyAlignment="1">
      <alignment/>
    </xf>
    <xf numFmtId="185" fontId="6" fillId="0" borderId="15" xfId="0" applyNumberFormat="1" applyFont="1" applyFill="1" applyBorder="1" applyAlignment="1" applyProtection="1">
      <alignment horizontal="right"/>
      <protection locked="0"/>
    </xf>
    <xf numFmtId="185" fontId="16" fillId="0" borderId="15" xfId="0" applyNumberFormat="1" applyFont="1" applyBorder="1" applyAlignment="1">
      <alignment/>
    </xf>
    <xf numFmtId="0" fontId="16" fillId="0" borderId="15" xfId="0" applyFont="1" applyBorder="1" applyAlignment="1">
      <alignment/>
    </xf>
    <xf numFmtId="0" fontId="19" fillId="0" borderId="19" xfId="0" applyFont="1" applyBorder="1" applyAlignment="1">
      <alignment/>
    </xf>
    <xf numFmtId="0" fontId="0" fillId="0" borderId="0" xfId="0" applyBorder="1" applyAlignment="1">
      <alignment/>
    </xf>
    <xf numFmtId="0" fontId="0" fillId="0" borderId="20" xfId="0"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20" fillId="35" borderId="24" xfId="0" applyFont="1" applyFill="1" applyBorder="1" applyAlignment="1">
      <alignment horizontal="center" vertical="top" wrapText="1"/>
    </xf>
    <xf numFmtId="0" fontId="20" fillId="35" borderId="20" xfId="0" applyFont="1" applyFill="1" applyBorder="1" applyAlignment="1">
      <alignment horizontal="center" vertical="top" wrapText="1"/>
    </xf>
    <xf numFmtId="0" fontId="20" fillId="35" borderId="23" xfId="0" applyFont="1" applyFill="1" applyBorder="1" applyAlignment="1">
      <alignment horizontal="center" vertical="top" wrapText="1"/>
    </xf>
    <xf numFmtId="0" fontId="0" fillId="35" borderId="23" xfId="0" applyFill="1" applyBorder="1" applyAlignment="1">
      <alignment vertical="top" wrapText="1"/>
    </xf>
    <xf numFmtId="0" fontId="20" fillId="35" borderId="20" xfId="0" applyFont="1" applyFill="1" applyBorder="1" applyAlignment="1">
      <alignment vertical="top" wrapText="1"/>
    </xf>
    <xf numFmtId="0" fontId="20" fillId="35" borderId="23" xfId="0" applyFont="1" applyFill="1" applyBorder="1" applyAlignment="1">
      <alignment vertical="top" wrapText="1"/>
    </xf>
    <xf numFmtId="0" fontId="19" fillId="0" borderId="23" xfId="0" applyFont="1" applyBorder="1" applyAlignment="1">
      <alignment horizontal="center" vertical="top" wrapText="1"/>
    </xf>
    <xf numFmtId="0" fontId="14" fillId="0" borderId="0" xfId="0" applyFont="1" applyAlignment="1">
      <alignment/>
    </xf>
    <xf numFmtId="0" fontId="5" fillId="0" borderId="0" xfId="0" applyFont="1" applyFill="1" applyAlignment="1">
      <alignment/>
    </xf>
    <xf numFmtId="0" fontId="5" fillId="0" borderId="16" xfId="0" applyFont="1" applyFill="1" applyBorder="1" applyAlignment="1">
      <alignment horizontal="left"/>
    </xf>
    <xf numFmtId="171" fontId="0" fillId="0" borderId="15" xfId="0" applyNumberFormat="1" applyFont="1" applyFill="1" applyBorder="1" applyAlignment="1">
      <alignment/>
    </xf>
    <xf numFmtId="0" fontId="0" fillId="0" borderId="0" xfId="0" applyFill="1" applyAlignment="1">
      <alignment/>
    </xf>
    <xf numFmtId="0" fontId="29" fillId="34" borderId="0" xfId="0" applyFont="1" applyFill="1" applyAlignment="1">
      <alignment/>
    </xf>
    <xf numFmtId="0" fontId="30" fillId="0" borderId="0" xfId="0" applyFont="1" applyAlignment="1" applyProtection="1">
      <alignment/>
      <protection locked="0"/>
    </xf>
    <xf numFmtId="0" fontId="28" fillId="0" borderId="0" xfId="0" applyFont="1" applyFill="1" applyAlignment="1">
      <alignment/>
    </xf>
    <xf numFmtId="185" fontId="2" fillId="0" borderId="15" xfId="0" applyNumberFormat="1" applyFont="1" applyFill="1" applyBorder="1" applyAlignment="1">
      <alignment/>
    </xf>
    <xf numFmtId="0" fontId="7" fillId="36" borderId="0" xfId="0" applyFont="1" applyFill="1" applyAlignment="1">
      <alignment/>
    </xf>
    <xf numFmtId="0" fontId="0" fillId="36" borderId="0" xfId="0" applyFill="1" applyAlignment="1">
      <alignment/>
    </xf>
    <xf numFmtId="4" fontId="10" fillId="33" borderId="11" xfId="0" applyNumberFormat="1" applyFont="1" applyFill="1" applyBorder="1" applyAlignment="1" applyProtection="1">
      <alignment vertical="center"/>
      <protection locked="0"/>
    </xf>
    <xf numFmtId="4" fontId="1" fillId="33" borderId="11" xfId="0" applyNumberFormat="1" applyFont="1" applyFill="1" applyBorder="1" applyAlignment="1" applyProtection="1">
      <alignment/>
      <protection locked="0"/>
    </xf>
    <xf numFmtId="198" fontId="1" fillId="34" borderId="10" xfId="0" applyNumberFormat="1" applyFont="1" applyFill="1" applyBorder="1" applyAlignment="1">
      <alignment horizontal="center" vertical="center"/>
    </xf>
    <xf numFmtId="198" fontId="1" fillId="34" borderId="11" xfId="0" applyNumberFormat="1" applyFont="1" applyFill="1" applyBorder="1" applyAlignment="1">
      <alignment horizontal="center" vertical="center"/>
    </xf>
    <xf numFmtId="38" fontId="4" fillId="0" borderId="0" xfId="0" applyNumberFormat="1" applyFont="1" applyFill="1" applyBorder="1" applyAlignment="1" applyProtection="1">
      <alignment/>
      <protection locked="0"/>
    </xf>
    <xf numFmtId="38" fontId="4" fillId="0" borderId="0" xfId="0" applyNumberFormat="1" applyFont="1" applyFill="1" applyAlignment="1" applyProtection="1">
      <alignment/>
      <protection locked="0"/>
    </xf>
    <xf numFmtId="0" fontId="30" fillId="0" borderId="0" xfId="0" applyFont="1" applyFill="1" applyAlignment="1" applyProtection="1">
      <alignment/>
      <protection locked="0"/>
    </xf>
    <xf numFmtId="0" fontId="7" fillId="0" borderId="0" xfId="0" applyFont="1" applyFill="1" applyAlignment="1">
      <alignment/>
    </xf>
    <xf numFmtId="0" fontId="29" fillId="0" borderId="0" xfId="0" applyFont="1" applyFill="1" applyAlignment="1">
      <alignment/>
    </xf>
    <xf numFmtId="0" fontId="9" fillId="0" borderId="0" xfId="0" applyFont="1" applyFill="1" applyAlignment="1">
      <alignment/>
    </xf>
    <xf numFmtId="0" fontId="8" fillId="0" borderId="0" xfId="0" applyFont="1" applyFill="1" applyAlignment="1">
      <alignment/>
    </xf>
    <xf numFmtId="38" fontId="3" fillId="0" borderId="0" xfId="0" applyNumberFormat="1" applyFont="1" applyFill="1" applyAlignment="1" applyProtection="1">
      <alignment/>
      <protection locked="0"/>
    </xf>
    <xf numFmtId="38" fontId="4" fillId="0" borderId="0" xfId="0" applyNumberFormat="1" applyFont="1" applyFill="1" applyAlignment="1">
      <alignment/>
    </xf>
    <xf numFmtId="3" fontId="31" fillId="0" borderId="0" xfId="0" applyNumberFormat="1" applyFont="1" applyFill="1" applyAlignment="1">
      <alignment/>
    </xf>
    <xf numFmtId="0" fontId="9" fillId="36" borderId="25" xfId="0" applyFont="1" applyFill="1" applyBorder="1" applyAlignment="1">
      <alignment/>
    </xf>
    <xf numFmtId="185" fontId="9" fillId="36" borderId="15" xfId="0" applyNumberFormat="1" applyFont="1" applyFill="1" applyBorder="1" applyAlignment="1">
      <alignment/>
    </xf>
    <xf numFmtId="0" fontId="0" fillId="0" borderId="0" xfId="0" applyFont="1" applyAlignment="1">
      <alignment/>
    </xf>
    <xf numFmtId="0" fontId="32" fillId="37" borderId="26" xfId="0" applyFont="1" applyFill="1" applyBorder="1" applyAlignment="1" applyProtection="1">
      <alignment horizontal="center" vertical="center"/>
      <protection/>
    </xf>
    <xf numFmtId="0" fontId="32" fillId="37" borderId="15" xfId="0" applyFont="1" applyFill="1" applyBorder="1" applyAlignment="1" applyProtection="1">
      <alignment horizontal="center" vertical="center"/>
      <protection/>
    </xf>
    <xf numFmtId="49" fontId="32" fillId="37" borderId="26" xfId="0" applyNumberFormat="1" applyFont="1" applyFill="1" applyBorder="1" applyAlignment="1" applyProtection="1">
      <alignment vertical="center"/>
      <protection/>
    </xf>
    <xf numFmtId="171" fontId="32" fillId="37" borderId="15" xfId="0" applyNumberFormat="1" applyFont="1" applyFill="1" applyBorder="1" applyAlignment="1" applyProtection="1">
      <alignment vertical="center"/>
      <protection/>
    </xf>
    <xf numFmtId="49" fontId="32" fillId="37" borderId="26" xfId="0" applyNumberFormat="1" applyFont="1" applyFill="1" applyBorder="1" applyAlignment="1" applyProtection="1">
      <alignment horizontal="left" vertical="center"/>
      <protection/>
    </xf>
    <xf numFmtId="171" fontId="32" fillId="37" borderId="15" xfId="0" applyNumberFormat="1" applyFont="1" applyFill="1" applyBorder="1" applyAlignment="1" applyProtection="1">
      <alignment horizontal="left" vertical="center"/>
      <protection/>
    </xf>
    <xf numFmtId="0" fontId="33" fillId="37" borderId="0" xfId="0" applyFont="1" applyFill="1" applyAlignment="1" applyProtection="1">
      <alignment horizontal="left" vertical="center" indent="1"/>
      <protection/>
    </xf>
    <xf numFmtId="171" fontId="33" fillId="37" borderId="15" xfId="0" applyNumberFormat="1" applyFont="1" applyFill="1" applyBorder="1" applyAlignment="1" applyProtection="1">
      <alignment horizontal="left" vertical="center" indent="1"/>
      <protection/>
    </xf>
    <xf numFmtId="49" fontId="33" fillId="37" borderId="0" xfId="0" applyNumberFormat="1" applyFont="1" applyFill="1" applyBorder="1" applyAlignment="1" applyProtection="1">
      <alignment horizontal="left" vertical="center" indent="1"/>
      <protection/>
    </xf>
    <xf numFmtId="0" fontId="5" fillId="38" borderId="27" xfId="0" applyFont="1" applyFill="1" applyBorder="1" applyAlignment="1">
      <alignment horizontal="center" wrapText="1"/>
    </xf>
    <xf numFmtId="1" fontId="32" fillId="36" borderId="25" xfId="64" applyNumberFormat="1" applyFont="1" applyFill="1" applyBorder="1" applyAlignment="1" applyProtection="1">
      <alignment horizontal="center" vertical="center" wrapText="1"/>
      <protection/>
    </xf>
    <xf numFmtId="0" fontId="33" fillId="36" borderId="0" xfId="64" applyNumberFormat="1" applyFont="1" applyFill="1" applyBorder="1" applyAlignment="1" applyProtection="1">
      <alignment horizontal="left" vertical="center"/>
      <protection/>
    </xf>
    <xf numFmtId="0" fontId="33" fillId="36" borderId="0" xfId="64" applyNumberFormat="1" applyFont="1" applyFill="1" applyAlignment="1" applyProtection="1">
      <alignment horizontal="left" vertical="center"/>
      <protection/>
    </xf>
    <xf numFmtId="216" fontId="0" fillId="36" borderId="0" xfId="64" applyNumberFormat="1" applyFont="1" applyFill="1" applyAlignment="1" applyProtection="1">
      <alignment vertical="center"/>
      <protection/>
    </xf>
    <xf numFmtId="0" fontId="33" fillId="36" borderId="28" xfId="64" applyNumberFormat="1" applyFont="1" applyFill="1" applyBorder="1" applyAlignment="1" applyProtection="1">
      <alignment horizontal="left" vertical="center"/>
      <protection/>
    </xf>
    <xf numFmtId="0" fontId="33" fillId="36" borderId="29" xfId="64" applyNumberFormat="1" applyFont="1" applyFill="1" applyBorder="1" applyAlignment="1" applyProtection="1">
      <alignment horizontal="left" vertical="center"/>
      <protection/>
    </xf>
    <xf numFmtId="0" fontId="33" fillId="36" borderId="30" xfId="64" applyNumberFormat="1" applyFont="1" applyFill="1" applyBorder="1" applyAlignment="1" applyProtection="1">
      <alignment horizontal="left" vertical="center"/>
      <protection/>
    </xf>
    <xf numFmtId="0" fontId="0" fillId="0" borderId="0" xfId="0" applyFont="1" applyAlignment="1">
      <alignment horizontal="justify" vertical="top" wrapText="1"/>
    </xf>
    <xf numFmtId="49" fontId="16" fillId="0" borderId="31" xfId="0" applyNumberFormat="1" applyFont="1" applyBorder="1" applyAlignment="1">
      <alignment horizontal="justify" wrapText="1"/>
    </xf>
    <xf numFmtId="0" fontId="16" fillId="0" borderId="32" xfId="0" applyFont="1" applyBorder="1" applyAlignment="1">
      <alignment horizontal="justify" wrapText="1"/>
    </xf>
    <xf numFmtId="0" fontId="16" fillId="0" borderId="33" xfId="0" applyFont="1" applyBorder="1" applyAlignment="1">
      <alignment horizontal="justify" wrapText="1"/>
    </xf>
    <xf numFmtId="0" fontId="16" fillId="0" borderId="0" xfId="0" applyFont="1" applyAlignment="1">
      <alignment wrapText="1"/>
    </xf>
    <xf numFmtId="198" fontId="36" fillId="36" borderId="34" xfId="0" applyNumberFormat="1" applyFont="1" applyFill="1" applyBorder="1" applyAlignment="1" applyProtection="1">
      <alignment horizontal="center"/>
      <protection locked="0"/>
    </xf>
    <xf numFmtId="198" fontId="36" fillId="36" borderId="35" xfId="0" applyNumberFormat="1" applyFont="1" applyFill="1" applyBorder="1" applyAlignment="1" applyProtection="1">
      <alignment horizontal="center"/>
      <protection locked="0"/>
    </xf>
    <xf numFmtId="198" fontId="36" fillId="36" borderId="36" xfId="0" applyNumberFormat="1" applyFont="1" applyFill="1" applyBorder="1" applyAlignment="1" applyProtection="1">
      <alignment horizontal="center"/>
      <protection locked="0"/>
    </xf>
    <xf numFmtId="198" fontId="36" fillId="36" borderId="37" xfId="0" applyNumberFormat="1" applyFont="1" applyFill="1" applyBorder="1" applyAlignment="1" applyProtection="1">
      <alignment horizontal="center"/>
      <protection locked="0"/>
    </xf>
    <xf numFmtId="198" fontId="5" fillId="36" borderId="10" xfId="0" applyNumberFormat="1" applyFont="1" applyFill="1" applyBorder="1" applyAlignment="1">
      <alignment horizontal="center" vertical="center"/>
    </xf>
    <xf numFmtId="198" fontId="5" fillId="36" borderId="11" xfId="0" applyNumberFormat="1" applyFont="1" applyFill="1" applyBorder="1" applyAlignment="1">
      <alignment horizontal="center" vertical="center"/>
    </xf>
    <xf numFmtId="0" fontId="5" fillId="36" borderId="30" xfId="50" applyFont="1" applyFill="1" applyBorder="1" applyAlignment="1">
      <alignment vertical="center"/>
      <protection/>
    </xf>
    <xf numFmtId="0" fontId="5" fillId="36" borderId="30" xfId="50" applyNumberFormat="1" applyFont="1" applyFill="1" applyBorder="1" applyAlignment="1">
      <alignment vertical="center" wrapText="1"/>
      <protection/>
    </xf>
    <xf numFmtId="171" fontId="36" fillId="36" borderId="10" xfId="0" applyNumberFormat="1" applyFont="1" applyFill="1" applyBorder="1" applyAlignment="1" applyProtection="1">
      <alignment horizontal="right"/>
      <protection locked="0"/>
    </xf>
    <xf numFmtId="0" fontId="5" fillId="36" borderId="15" xfId="50" applyFont="1" applyFill="1" applyBorder="1" applyAlignment="1">
      <alignment vertical="center"/>
      <protection/>
    </xf>
    <xf numFmtId="0" fontId="5" fillId="36" borderId="15" xfId="50" applyNumberFormat="1" applyFont="1" applyFill="1" applyBorder="1" applyAlignment="1">
      <alignment vertical="center" wrapText="1"/>
      <protection/>
    </xf>
    <xf numFmtId="171" fontId="5" fillId="36" borderId="15" xfId="0" applyNumberFormat="1" applyFont="1" applyFill="1" applyBorder="1" applyAlignment="1">
      <alignment/>
    </xf>
    <xf numFmtId="0" fontId="0" fillId="36" borderId="15" xfId="50" applyFont="1" applyFill="1" applyBorder="1" applyAlignment="1">
      <alignment vertical="center"/>
      <protection/>
    </xf>
    <xf numFmtId="0" fontId="0" fillId="36" borderId="15" xfId="50" applyNumberFormat="1" applyFont="1" applyFill="1" applyBorder="1" applyAlignment="1">
      <alignment vertical="center" wrapText="1"/>
      <protection/>
    </xf>
    <xf numFmtId="171" fontId="0" fillId="36" borderId="15" xfId="0" applyNumberFormat="1" applyFont="1" applyFill="1" applyBorder="1" applyAlignment="1">
      <alignment/>
    </xf>
    <xf numFmtId="214" fontId="0" fillId="36" borderId="15" xfId="50" applyNumberFormat="1" applyFont="1" applyFill="1" applyBorder="1" applyAlignment="1">
      <alignment vertical="center" wrapText="1"/>
      <protection/>
    </xf>
    <xf numFmtId="0" fontId="0" fillId="36" borderId="38" xfId="50" applyFont="1" applyFill="1" applyBorder="1" applyAlignment="1">
      <alignment vertical="center"/>
      <protection/>
    </xf>
    <xf numFmtId="185" fontId="0" fillId="36" borderId="15" xfId="0" applyNumberFormat="1" applyFont="1" applyFill="1" applyBorder="1" applyAlignment="1">
      <alignment/>
    </xf>
    <xf numFmtId="185" fontId="5" fillId="36" borderId="15" xfId="0" applyNumberFormat="1" applyFont="1" applyFill="1" applyBorder="1" applyAlignment="1">
      <alignment/>
    </xf>
    <xf numFmtId="0" fontId="0" fillId="36" borderId="0" xfId="0" applyFont="1" applyFill="1" applyBorder="1" applyAlignment="1">
      <alignment/>
    </xf>
    <xf numFmtId="0" fontId="0" fillId="36" borderId="17" xfId="0" applyFont="1" applyFill="1" applyBorder="1" applyAlignment="1">
      <alignment/>
    </xf>
    <xf numFmtId="0" fontId="5" fillId="36" borderId="27" xfId="0" applyFont="1" applyFill="1" applyBorder="1" applyAlignment="1">
      <alignment/>
    </xf>
    <xf numFmtId="0" fontId="5" fillId="36" borderId="25" xfId="0" applyFont="1" applyFill="1" applyBorder="1" applyAlignment="1">
      <alignment/>
    </xf>
    <xf numFmtId="185" fontId="1" fillId="36" borderId="15" xfId="0" applyNumberFormat="1" applyFont="1" applyFill="1" applyBorder="1" applyAlignment="1">
      <alignment/>
    </xf>
    <xf numFmtId="198" fontId="10" fillId="36" borderId="34" xfId="0" applyNumberFormat="1" applyFont="1" applyFill="1" applyBorder="1" applyAlignment="1" applyProtection="1">
      <alignment horizontal="center"/>
      <protection locked="0"/>
    </xf>
    <xf numFmtId="198" fontId="10" fillId="36" borderId="35" xfId="0" applyNumberFormat="1" applyFont="1" applyFill="1" applyBorder="1" applyAlignment="1" applyProtection="1">
      <alignment horizontal="center"/>
      <protection locked="0"/>
    </xf>
    <xf numFmtId="198" fontId="10" fillId="36" borderId="36" xfId="0" applyNumberFormat="1" applyFont="1" applyFill="1" applyBorder="1" applyAlignment="1" applyProtection="1">
      <alignment horizontal="center"/>
      <protection locked="0"/>
    </xf>
    <xf numFmtId="198" fontId="10" fillId="36" borderId="37" xfId="0" applyNumberFormat="1" applyFont="1" applyFill="1" applyBorder="1" applyAlignment="1" applyProtection="1">
      <alignment horizontal="center"/>
      <protection locked="0"/>
    </xf>
    <xf numFmtId="198" fontId="1" fillId="36" borderId="10" xfId="0" applyNumberFormat="1" applyFont="1" applyFill="1" applyBorder="1" applyAlignment="1">
      <alignment horizontal="center" vertical="center"/>
    </xf>
    <xf numFmtId="198" fontId="1" fillId="36" borderId="11" xfId="0" applyNumberFormat="1" applyFont="1" applyFill="1" applyBorder="1" applyAlignment="1">
      <alignment horizontal="center" vertical="center"/>
    </xf>
    <xf numFmtId="185" fontId="2" fillId="36" borderId="15" xfId="0" applyNumberFormat="1" applyFont="1" applyFill="1" applyBorder="1" applyAlignment="1">
      <alignment/>
    </xf>
    <xf numFmtId="185" fontId="2" fillId="39" borderId="15" xfId="0" applyNumberFormat="1" applyFont="1" applyFill="1" applyBorder="1" applyAlignment="1">
      <alignment/>
    </xf>
    <xf numFmtId="3" fontId="6" fillId="36" borderId="15" xfId="0" applyNumberFormat="1" applyFont="1" applyFill="1" applyBorder="1" applyAlignment="1">
      <alignment horizontal="center"/>
    </xf>
    <xf numFmtId="0" fontId="6" fillId="36" borderId="15" xfId="0" applyFont="1" applyFill="1" applyBorder="1" applyAlignment="1">
      <alignment horizontal="center"/>
    </xf>
    <xf numFmtId="0" fontId="6" fillId="36" borderId="15" xfId="0" applyFont="1" applyFill="1" applyBorder="1" applyAlignment="1">
      <alignment/>
    </xf>
    <xf numFmtId="185" fontId="6" fillId="36" borderId="15" xfId="0" applyNumberFormat="1" applyFont="1" applyFill="1" applyBorder="1" applyAlignment="1">
      <alignment/>
    </xf>
    <xf numFmtId="185" fontId="16" fillId="36" borderId="15" xfId="0" applyNumberFormat="1" applyFont="1" applyFill="1" applyBorder="1" applyAlignment="1">
      <alignment/>
    </xf>
    <xf numFmtId="0" fontId="6" fillId="36" borderId="15" xfId="0" applyFont="1" applyFill="1" applyBorder="1" applyAlignment="1">
      <alignment horizontal="left" vertical="center" wrapText="1"/>
    </xf>
    <xf numFmtId="185" fontId="6" fillId="36" borderId="15" xfId="0" applyNumberFormat="1" applyFont="1" applyFill="1" applyBorder="1" applyAlignment="1">
      <alignment horizontal="right"/>
    </xf>
    <xf numFmtId="0" fontId="16" fillId="36" borderId="25" xfId="0" applyFont="1" applyFill="1" applyBorder="1" applyAlignment="1">
      <alignment horizontal="center" vertical="center" wrapText="1"/>
    </xf>
    <xf numFmtId="0" fontId="16" fillId="36" borderId="17" xfId="0" applyFont="1" applyFill="1" applyBorder="1" applyAlignment="1">
      <alignment vertical="top" wrapText="1"/>
    </xf>
    <xf numFmtId="0" fontId="16" fillId="36" borderId="25" xfId="0" applyFont="1" applyFill="1" applyBorder="1" applyAlignment="1">
      <alignment vertical="top" wrapText="1"/>
    </xf>
    <xf numFmtId="185" fontId="16" fillId="36" borderId="29" xfId="0" applyNumberFormat="1" applyFont="1" applyFill="1" applyBorder="1" applyAlignment="1">
      <alignment vertical="top" wrapText="1"/>
    </xf>
    <xf numFmtId="0" fontId="0" fillId="0" borderId="0" xfId="0" applyAlignment="1">
      <alignment horizontal="center"/>
    </xf>
    <xf numFmtId="0" fontId="0" fillId="0" borderId="39" xfId="0" applyFont="1" applyFill="1" applyBorder="1" applyAlignment="1">
      <alignment horizontal="left" wrapText="1"/>
    </xf>
    <xf numFmtId="0" fontId="0" fillId="0" borderId="40" xfId="0" applyFont="1" applyFill="1" applyBorder="1" applyAlignment="1">
      <alignment horizontal="left" wrapText="1"/>
    </xf>
    <xf numFmtId="181" fontId="0" fillId="0" borderId="41" xfId="0" applyNumberFormat="1" applyFont="1" applyFill="1" applyBorder="1" applyAlignment="1">
      <alignment horizontal="right" wrapText="1"/>
    </xf>
    <xf numFmtId="0" fontId="0" fillId="36" borderId="38" xfId="0" applyFont="1" applyFill="1" applyBorder="1" applyAlignment="1">
      <alignment horizontal="center" vertical="top" wrapText="1"/>
    </xf>
    <xf numFmtId="0" fontId="0" fillId="0" borderId="17" xfId="0" applyFont="1" applyFill="1" applyBorder="1" applyAlignment="1">
      <alignment horizontal="center" wrapText="1"/>
    </xf>
    <xf numFmtId="185" fontId="0" fillId="0" borderId="17" xfId="0" applyNumberFormat="1" applyFont="1" applyFill="1" applyBorder="1" applyAlignment="1">
      <alignment wrapText="1"/>
    </xf>
    <xf numFmtId="185" fontId="0" fillId="36" borderId="17" xfId="0" applyNumberFormat="1" applyFont="1" applyFill="1" applyBorder="1" applyAlignment="1">
      <alignment wrapText="1"/>
    </xf>
    <xf numFmtId="0" fontId="0" fillId="0" borderId="29" xfId="0" applyFont="1" applyFill="1" applyBorder="1" applyAlignment="1">
      <alignment horizontal="center" wrapText="1"/>
    </xf>
    <xf numFmtId="0" fontId="0" fillId="0" borderId="25" xfId="0" applyFont="1" applyFill="1" applyBorder="1" applyAlignment="1">
      <alignment horizontal="center" wrapText="1"/>
    </xf>
    <xf numFmtId="185" fontId="0" fillId="0" borderId="25" xfId="0" applyNumberFormat="1" applyFont="1" applyFill="1" applyBorder="1" applyAlignment="1">
      <alignment wrapText="1"/>
    </xf>
    <xf numFmtId="0" fontId="0" fillId="0" borderId="30" xfId="0" applyFont="1" applyFill="1" applyBorder="1" applyAlignment="1">
      <alignment horizontal="center" wrapText="1"/>
    </xf>
    <xf numFmtId="185" fontId="0" fillId="36" borderId="25" xfId="0" applyNumberFormat="1" applyFont="1" applyFill="1" applyBorder="1" applyAlignment="1">
      <alignment wrapText="1"/>
    </xf>
    <xf numFmtId="0" fontId="0" fillId="36" borderId="15" xfId="0" applyFont="1" applyFill="1" applyBorder="1" applyAlignment="1">
      <alignment horizontal="center" wrapText="1"/>
    </xf>
    <xf numFmtId="0" fontId="5" fillId="0" borderId="42" xfId="0" applyFont="1" applyFill="1" applyBorder="1" applyAlignment="1">
      <alignment horizontal="left"/>
    </xf>
    <xf numFmtId="0" fontId="6" fillId="0" borderId="18" xfId="0" applyFont="1" applyFill="1" applyBorder="1" applyAlignment="1">
      <alignment wrapText="1"/>
    </xf>
    <xf numFmtId="181" fontId="16" fillId="0" borderId="18" xfId="0" applyNumberFormat="1" applyFont="1" applyFill="1" applyBorder="1" applyAlignment="1">
      <alignment horizontal="right" wrapText="1"/>
    </xf>
    <xf numFmtId="0" fontId="6" fillId="36" borderId="17" xfId="0" applyFont="1" applyFill="1" applyBorder="1" applyAlignment="1">
      <alignment vertical="top" wrapText="1"/>
    </xf>
    <xf numFmtId="185" fontId="6" fillId="36" borderId="29" xfId="0" applyNumberFormat="1" applyFont="1" applyFill="1" applyBorder="1" applyAlignment="1">
      <alignment vertical="top" wrapText="1"/>
    </xf>
    <xf numFmtId="0" fontId="6" fillId="36" borderId="25" xfId="0" applyFont="1" applyFill="1" applyBorder="1" applyAlignment="1">
      <alignment vertical="top" wrapText="1"/>
    </xf>
    <xf numFmtId="185" fontId="6" fillId="36" borderId="30" xfId="0" applyNumberFormat="1" applyFont="1" applyFill="1" applyBorder="1" applyAlignment="1">
      <alignment vertical="top" wrapText="1"/>
    </xf>
    <xf numFmtId="185" fontId="16" fillId="0" borderId="30" xfId="0" applyNumberFormat="1" applyFont="1" applyFill="1" applyBorder="1" applyAlignment="1">
      <alignment vertical="top" wrapText="1"/>
    </xf>
    <xf numFmtId="185" fontId="16" fillId="0" borderId="29" xfId="0" applyNumberFormat="1" applyFont="1" applyFill="1" applyBorder="1" applyAlignment="1">
      <alignment vertical="top" wrapText="1"/>
    </xf>
    <xf numFmtId="185" fontId="6" fillId="36" borderId="30" xfId="0" applyNumberFormat="1" applyFont="1" applyFill="1" applyBorder="1" applyAlignment="1">
      <alignment horizontal="right" vertical="top" wrapText="1"/>
    </xf>
    <xf numFmtId="0" fontId="6" fillId="36" borderId="15" xfId="0" applyFont="1" applyFill="1" applyBorder="1" applyAlignment="1">
      <alignment horizontal="center" wrapText="1"/>
    </xf>
    <xf numFmtId="0" fontId="0" fillId="0" borderId="43" xfId="0" applyFont="1" applyFill="1" applyBorder="1" applyAlignment="1">
      <alignment wrapText="1"/>
    </xf>
    <xf numFmtId="171" fontId="0" fillId="0" borderId="15" xfId="0" applyNumberFormat="1" applyFont="1" applyFill="1" applyBorder="1" applyAlignment="1">
      <alignment wrapText="1"/>
    </xf>
    <xf numFmtId="171" fontId="0" fillId="0" borderId="15" xfId="0" applyNumberFormat="1" applyFont="1" applyFill="1" applyBorder="1" applyAlignment="1" applyProtection="1">
      <alignment wrapText="1"/>
      <protection locked="0"/>
    </xf>
    <xf numFmtId="0" fontId="0" fillId="36" borderId="15" xfId="50" applyFont="1" applyFill="1" applyBorder="1" applyAlignment="1">
      <alignment vertical="center" wrapText="1"/>
      <protection/>
    </xf>
    <xf numFmtId="0" fontId="5" fillId="38" borderId="15" xfId="50" applyFont="1" applyFill="1" applyBorder="1" applyAlignment="1">
      <alignment vertical="center"/>
      <protection/>
    </xf>
    <xf numFmtId="0" fontId="5" fillId="38" borderId="15" xfId="50" applyNumberFormat="1" applyFont="1" applyFill="1" applyBorder="1" applyAlignment="1">
      <alignment vertical="center" wrapText="1"/>
      <protection/>
    </xf>
    <xf numFmtId="171" fontId="5" fillId="38" borderId="15" xfId="0" applyNumberFormat="1" applyFont="1" applyFill="1" applyBorder="1" applyAlignment="1">
      <alignment/>
    </xf>
    <xf numFmtId="171" fontId="0" fillId="33" borderId="15" xfId="0" applyNumberFormat="1" applyFont="1" applyFill="1" applyBorder="1" applyAlignment="1">
      <alignment/>
    </xf>
    <xf numFmtId="0" fontId="38" fillId="33" borderId="15" xfId="0" applyNumberFormat="1" applyFont="1" applyFill="1" applyBorder="1" applyAlignment="1">
      <alignment/>
    </xf>
    <xf numFmtId="0" fontId="39" fillId="33" borderId="15" xfId="0" applyNumberFormat="1" applyFont="1" applyFill="1" applyBorder="1" applyAlignment="1">
      <alignment/>
    </xf>
    <xf numFmtId="0" fontId="38" fillId="0" borderId="15" xfId="0" applyNumberFormat="1" applyFont="1" applyBorder="1" applyAlignment="1">
      <alignment/>
    </xf>
    <xf numFmtId="0" fontId="39" fillId="0" borderId="15" xfId="0" applyNumberFormat="1" applyFont="1" applyBorder="1" applyAlignment="1">
      <alignment/>
    </xf>
    <xf numFmtId="0" fontId="37" fillId="0" borderId="15" xfId="0" applyNumberFormat="1" applyFont="1" applyBorder="1" applyAlignment="1">
      <alignment/>
    </xf>
    <xf numFmtId="0" fontId="39" fillId="33" borderId="44" xfId="0" applyFont="1" applyFill="1" applyBorder="1" applyAlignment="1">
      <alignment horizontal="justify" vertical="center" wrapText="1"/>
    </xf>
    <xf numFmtId="0" fontId="39" fillId="33" borderId="21" xfId="0" applyFont="1" applyFill="1" applyBorder="1" applyAlignment="1">
      <alignment horizontal="justify" vertical="center" wrapText="1"/>
    </xf>
    <xf numFmtId="0" fontId="39" fillId="33" borderId="19" xfId="0" applyFont="1" applyFill="1" applyBorder="1" applyAlignment="1">
      <alignment horizontal="justify" vertical="center" wrapText="1"/>
    </xf>
    <xf numFmtId="0" fontId="39" fillId="0" borderId="0" xfId="0" applyFont="1" applyAlignment="1">
      <alignment/>
    </xf>
    <xf numFmtId="0" fontId="38" fillId="0" borderId="0" xfId="0" applyFont="1" applyAlignment="1">
      <alignment/>
    </xf>
    <xf numFmtId="0" fontId="37" fillId="0" borderId="0" xfId="0" applyFont="1" applyAlignment="1">
      <alignment/>
    </xf>
    <xf numFmtId="0" fontId="40" fillId="0" borderId="0" xfId="0" applyFont="1" applyAlignment="1">
      <alignment/>
    </xf>
    <xf numFmtId="0" fontId="38" fillId="40" borderId="15" xfId="0" applyFont="1" applyFill="1" applyBorder="1" applyAlignment="1">
      <alignment/>
    </xf>
    <xf numFmtId="0" fontId="38" fillId="34" borderId="15" xfId="0" applyFont="1" applyFill="1" applyBorder="1" applyAlignment="1">
      <alignment/>
    </xf>
    <xf numFmtId="0" fontId="6" fillId="38" borderId="15" xfId="0" applyFont="1" applyFill="1" applyBorder="1" applyAlignment="1">
      <alignment/>
    </xf>
    <xf numFmtId="3" fontId="6" fillId="36" borderId="15" xfId="0" applyNumberFormat="1" applyFont="1" applyFill="1" applyBorder="1" applyAlignment="1">
      <alignment horizontal="center" wrapText="1"/>
    </xf>
    <xf numFmtId="185" fontId="6" fillId="38" borderId="15" xfId="0" applyNumberFormat="1" applyFont="1" applyFill="1" applyBorder="1" applyAlignment="1" applyProtection="1">
      <alignment/>
      <protection locked="0"/>
    </xf>
    <xf numFmtId="0" fontId="0" fillId="0" borderId="45" xfId="0" applyFont="1" applyFill="1" applyBorder="1" applyAlignment="1">
      <alignment horizontal="center"/>
    </xf>
    <xf numFmtId="0" fontId="0" fillId="0" borderId="15" xfId="0" applyFont="1" applyFill="1" applyBorder="1" applyAlignment="1">
      <alignment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wrapText="1"/>
    </xf>
    <xf numFmtId="0" fontId="0" fillId="0" borderId="30" xfId="0" applyFont="1" applyFill="1" applyBorder="1" applyAlignment="1" quotePrefix="1">
      <alignment horizontal="center" wrapText="1"/>
    </xf>
    <xf numFmtId="0" fontId="0" fillId="0" borderId="25" xfId="0" applyFont="1" applyFill="1" applyBorder="1" applyAlignment="1">
      <alignment horizontal="center" wrapText="1"/>
    </xf>
    <xf numFmtId="171" fontId="0" fillId="0" borderId="15" xfId="0" applyNumberFormat="1" applyFont="1" applyFill="1" applyBorder="1" applyAlignment="1">
      <alignment horizontal="right" wrapText="1"/>
    </xf>
    <xf numFmtId="0" fontId="0" fillId="0" borderId="17" xfId="0" applyFont="1" applyFill="1" applyBorder="1" applyAlignment="1">
      <alignment/>
    </xf>
    <xf numFmtId="0" fontId="0" fillId="0" borderId="25" xfId="0" applyFont="1" applyFill="1" applyBorder="1" applyAlignment="1">
      <alignment/>
    </xf>
    <xf numFmtId="0" fontId="41" fillId="0" borderId="18" xfId="0" applyFont="1" applyFill="1" applyBorder="1" applyAlignment="1">
      <alignment wrapText="1"/>
    </xf>
    <xf numFmtId="185" fontId="41" fillId="0" borderId="17" xfId="0" applyNumberFormat="1" applyFont="1" applyFill="1" applyBorder="1" applyAlignment="1" applyProtection="1">
      <alignment wrapText="1"/>
      <protection locked="0"/>
    </xf>
    <xf numFmtId="185" fontId="41" fillId="0" borderId="25" xfId="0" applyNumberFormat="1" applyFont="1" applyFill="1" applyBorder="1" applyAlignment="1" applyProtection="1">
      <alignment wrapText="1"/>
      <protection locked="0"/>
    </xf>
    <xf numFmtId="181" fontId="41" fillId="0" borderId="18" xfId="0" applyNumberFormat="1" applyFont="1" applyFill="1" applyBorder="1" applyAlignment="1">
      <alignment horizontal="right" wrapText="1"/>
    </xf>
    <xf numFmtId="0" fontId="41" fillId="0" borderId="25"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17" xfId="0" applyFont="1" applyFill="1" applyBorder="1" applyAlignment="1">
      <alignment wrapText="1"/>
    </xf>
    <xf numFmtId="0" fontId="41" fillId="0" borderId="25" xfId="0" applyFont="1" applyFill="1" applyBorder="1" applyAlignment="1">
      <alignment wrapText="1"/>
    </xf>
    <xf numFmtId="0" fontId="42" fillId="0" borderId="25" xfId="0" applyFont="1" applyFill="1" applyBorder="1" applyAlignment="1">
      <alignment wrapText="1"/>
    </xf>
    <xf numFmtId="0" fontId="5" fillId="41" borderId="15" xfId="0" applyFont="1" applyFill="1" applyBorder="1" applyAlignment="1">
      <alignment horizontal="center"/>
    </xf>
    <xf numFmtId="0" fontId="5" fillId="42" borderId="15" xfId="0" applyFont="1" applyFill="1" applyBorder="1" applyAlignment="1" applyProtection="1">
      <alignment/>
      <protection locked="0"/>
    </xf>
    <xf numFmtId="10" fontId="0" fillId="41" borderId="15" xfId="0" applyNumberFormat="1" applyFont="1" applyFill="1" applyBorder="1" applyAlignment="1" applyProtection="1">
      <alignment horizontal="right"/>
      <protection locked="0"/>
    </xf>
    <xf numFmtId="10" fontId="0" fillId="41" borderId="15" xfId="0" applyNumberFormat="1" applyFont="1" applyFill="1" applyBorder="1" applyAlignment="1" applyProtection="1">
      <alignment horizontal="center"/>
      <protection/>
    </xf>
    <xf numFmtId="0" fontId="5" fillId="42" borderId="15" xfId="0" applyFont="1" applyFill="1" applyBorder="1" applyAlignment="1">
      <alignment/>
    </xf>
    <xf numFmtId="10" fontId="0" fillId="41" borderId="15" xfId="0" applyNumberFormat="1" applyFont="1" applyFill="1" applyBorder="1" applyAlignment="1">
      <alignment/>
    </xf>
    <xf numFmtId="0" fontId="5" fillId="43" borderId="15" xfId="0" applyFont="1" applyFill="1" applyBorder="1" applyAlignment="1">
      <alignment/>
    </xf>
    <xf numFmtId="0" fontId="5" fillId="41" borderId="15" xfId="0" applyFont="1" applyFill="1" applyBorder="1" applyAlignment="1">
      <alignment/>
    </xf>
    <xf numFmtId="39" fontId="0" fillId="41" borderId="15" xfId="0" applyNumberFormat="1" applyFont="1" applyFill="1" applyBorder="1" applyAlignment="1">
      <alignment/>
    </xf>
    <xf numFmtId="10" fontId="0" fillId="44" borderId="15" xfId="0" applyNumberFormat="1" applyFont="1" applyFill="1" applyBorder="1" applyAlignment="1" applyProtection="1">
      <alignment horizontal="center"/>
      <protection/>
    </xf>
    <xf numFmtId="10" fontId="0" fillId="44" borderId="15" xfId="0" applyNumberFormat="1" applyFont="1" applyFill="1" applyBorder="1" applyAlignment="1" applyProtection="1">
      <alignment horizontal="center"/>
      <protection locked="0"/>
    </xf>
    <xf numFmtId="171" fontId="0" fillId="2" borderId="17" xfId="0" applyNumberFormat="1" applyFont="1" applyFill="1" applyBorder="1" applyAlignment="1">
      <alignment horizontal="right" wrapText="1"/>
    </xf>
    <xf numFmtId="171" fontId="0" fillId="2" borderId="15" xfId="0" applyNumberFormat="1" applyFont="1" applyFill="1" applyBorder="1" applyAlignment="1">
      <alignment horizontal="right" wrapText="1"/>
    </xf>
    <xf numFmtId="10" fontId="0" fillId="2" borderId="15" xfId="0" applyNumberFormat="1" applyFont="1" applyFill="1" applyBorder="1" applyAlignment="1">
      <alignment wrapText="1"/>
    </xf>
    <xf numFmtId="171" fontId="0" fillId="2" borderId="15" xfId="0" applyNumberFormat="1" applyFont="1" applyFill="1" applyBorder="1" applyAlignment="1">
      <alignment vertical="top" wrapText="1"/>
    </xf>
    <xf numFmtId="10" fontId="0" fillId="2" borderId="15" xfId="0" applyNumberFormat="1" applyFont="1" applyFill="1" applyBorder="1" applyAlignment="1">
      <alignment horizontal="right" vertical="top" wrapText="1"/>
    </xf>
    <xf numFmtId="10" fontId="0" fillId="2" borderId="17" xfId="0" applyNumberFormat="1" applyFont="1" applyFill="1" applyBorder="1" applyAlignment="1">
      <alignment horizontal="right" vertical="top"/>
    </xf>
    <xf numFmtId="171" fontId="0" fillId="2" borderId="17" xfId="0" applyNumberFormat="1" applyFont="1" applyFill="1" applyBorder="1" applyAlignment="1">
      <alignment horizontal="right" vertical="top"/>
    </xf>
    <xf numFmtId="10" fontId="0" fillId="2" borderId="17" xfId="0" applyNumberFormat="1" applyFont="1" applyFill="1" applyBorder="1" applyAlignment="1">
      <alignment horizontal="right" vertical="top" wrapText="1"/>
    </xf>
    <xf numFmtId="171" fontId="0" fillId="2" borderId="17" xfId="0" applyNumberFormat="1" applyFont="1" applyFill="1" applyBorder="1" applyAlignment="1">
      <alignment horizontal="right"/>
    </xf>
    <xf numFmtId="171" fontId="0" fillId="2" borderId="25" xfId="0" applyNumberFormat="1" applyFont="1" applyFill="1" applyBorder="1" applyAlignment="1">
      <alignment horizontal="right"/>
    </xf>
    <xf numFmtId="185" fontId="41" fillId="2" borderId="17" xfId="0" applyNumberFormat="1" applyFont="1" applyFill="1" applyBorder="1" applyAlignment="1">
      <alignment wrapText="1"/>
    </xf>
    <xf numFmtId="10" fontId="41" fillId="2" borderId="17" xfId="0" applyNumberFormat="1" applyFont="1" applyFill="1" applyBorder="1" applyAlignment="1">
      <alignment wrapText="1"/>
    </xf>
    <xf numFmtId="185" fontId="41" fillId="2" borderId="17" xfId="0" applyNumberFormat="1" applyFont="1" applyFill="1" applyBorder="1" applyAlignment="1" applyProtection="1">
      <alignment wrapText="1"/>
      <protection locked="0"/>
    </xf>
    <xf numFmtId="185" fontId="41" fillId="2" borderId="25" xfId="0" applyNumberFormat="1" applyFont="1" applyFill="1" applyBorder="1" applyAlignment="1" applyProtection="1">
      <alignment wrapText="1"/>
      <protection locked="0"/>
    </xf>
    <xf numFmtId="10" fontId="41" fillId="2" borderId="25" xfId="0" applyNumberFormat="1" applyFont="1" applyFill="1" applyBorder="1" applyAlignment="1">
      <alignment wrapText="1"/>
    </xf>
    <xf numFmtId="185" fontId="41" fillId="2" borderId="25" xfId="0" applyNumberFormat="1" applyFont="1" applyFill="1" applyBorder="1" applyAlignment="1">
      <alignment wrapText="1"/>
    </xf>
    <xf numFmtId="185" fontId="41" fillId="44" borderId="17" xfId="0" applyNumberFormat="1" applyFont="1" applyFill="1" applyBorder="1" applyAlignment="1" applyProtection="1">
      <alignment wrapText="1"/>
      <protection locked="0"/>
    </xf>
    <xf numFmtId="0" fontId="44" fillId="0" borderId="0" xfId="0" applyFont="1" applyFill="1" applyAlignment="1">
      <alignment/>
    </xf>
    <xf numFmtId="0" fontId="44" fillId="34" borderId="0" xfId="0" applyFont="1" applyFill="1" applyAlignment="1">
      <alignment/>
    </xf>
    <xf numFmtId="0" fontId="7" fillId="0" borderId="0" xfId="0" applyFont="1" applyFill="1" applyAlignment="1" quotePrefix="1">
      <alignment/>
    </xf>
    <xf numFmtId="0" fontId="15" fillId="0" borderId="18" xfId="0" applyFont="1" applyFill="1" applyBorder="1" applyAlignment="1">
      <alignment vertical="top" wrapText="1"/>
    </xf>
    <xf numFmtId="0" fontId="16" fillId="0" borderId="18" xfId="0" applyFont="1" applyFill="1" applyBorder="1" applyAlignment="1">
      <alignment vertical="top" wrapText="1"/>
    </xf>
    <xf numFmtId="181" fontId="16" fillId="0" borderId="18" xfId="0" applyNumberFormat="1" applyFont="1" applyFill="1" applyBorder="1" applyAlignment="1">
      <alignment horizontal="right" vertical="top" wrapText="1"/>
    </xf>
    <xf numFmtId="0" fontId="6" fillId="44" borderId="17" xfId="0" applyFont="1" applyFill="1" applyBorder="1" applyAlignment="1">
      <alignment horizontal="center" vertical="center" wrapText="1"/>
    </xf>
    <xf numFmtId="0" fontId="6" fillId="44" borderId="25" xfId="0" applyFont="1" applyFill="1" applyBorder="1" applyAlignment="1">
      <alignment horizontal="center" vertical="center" wrapText="1"/>
    </xf>
    <xf numFmtId="0" fontId="6" fillId="44" borderId="15" xfId="0" applyFont="1" applyFill="1" applyBorder="1" applyAlignment="1">
      <alignment horizontal="center" vertical="center" wrapText="1"/>
    </xf>
    <xf numFmtId="0" fontId="16" fillId="44" borderId="0" xfId="0" applyFont="1" applyFill="1" applyBorder="1" applyAlignment="1">
      <alignment horizontal="left" vertical="center" wrapText="1"/>
    </xf>
    <xf numFmtId="171" fontId="16" fillId="44" borderId="29" xfId="0" applyNumberFormat="1" applyFont="1" applyFill="1" applyBorder="1" applyAlignment="1">
      <alignment horizontal="right" vertical="center" wrapText="1"/>
    </xf>
    <xf numFmtId="0" fontId="16" fillId="44" borderId="0" xfId="0" applyFont="1" applyFill="1" applyBorder="1" applyAlignment="1">
      <alignment vertical="top" wrapText="1"/>
    </xf>
    <xf numFmtId="171" fontId="16" fillId="44" borderId="29" xfId="0" applyNumberFormat="1" applyFont="1" applyFill="1" applyBorder="1" applyAlignment="1">
      <alignment vertical="top" wrapText="1"/>
    </xf>
    <xf numFmtId="171" fontId="16" fillId="44" borderId="17" xfId="0" applyNumberFormat="1" applyFont="1" applyFill="1" applyBorder="1" applyAlignment="1">
      <alignment vertical="top" wrapText="1"/>
    </xf>
    <xf numFmtId="171" fontId="16" fillId="44" borderId="29" xfId="0" applyNumberFormat="1" applyFont="1" applyFill="1" applyBorder="1" applyAlignment="1" applyProtection="1">
      <alignment vertical="top" wrapText="1"/>
      <protection locked="0"/>
    </xf>
    <xf numFmtId="171" fontId="16" fillId="44" borderId="17" xfId="0" applyNumberFormat="1" applyFont="1" applyFill="1" applyBorder="1" applyAlignment="1" applyProtection="1">
      <alignment vertical="top" wrapText="1"/>
      <protection locked="0"/>
    </xf>
    <xf numFmtId="171" fontId="16" fillId="44" borderId="30" xfId="0" applyNumberFormat="1" applyFont="1" applyFill="1" applyBorder="1" applyAlignment="1" applyProtection="1">
      <alignment vertical="top" wrapText="1"/>
      <protection locked="0"/>
    </xf>
    <xf numFmtId="171" fontId="16" fillId="44" borderId="25" xfId="0" applyNumberFormat="1" applyFont="1" applyFill="1" applyBorder="1" applyAlignment="1" applyProtection="1">
      <alignment vertical="top" wrapText="1"/>
      <protection locked="0"/>
    </xf>
    <xf numFmtId="171" fontId="16" fillId="44" borderId="30" xfId="0" applyNumberFormat="1" applyFont="1" applyFill="1" applyBorder="1" applyAlignment="1">
      <alignment vertical="top" wrapText="1"/>
    </xf>
    <xf numFmtId="0" fontId="16" fillId="44" borderId="17" xfId="0" applyFont="1" applyFill="1" applyBorder="1" applyAlignment="1">
      <alignment vertical="top" wrapText="1"/>
    </xf>
    <xf numFmtId="0" fontId="16" fillId="44" borderId="17" xfId="0" applyFont="1" applyFill="1" applyBorder="1" applyAlignment="1" applyProtection="1">
      <alignment vertical="top" wrapText="1"/>
      <protection locked="0"/>
    </xf>
    <xf numFmtId="0" fontId="16" fillId="44" borderId="28" xfId="0" applyFont="1" applyFill="1" applyBorder="1" applyAlignment="1" applyProtection="1">
      <alignment vertical="top" wrapText="1"/>
      <protection locked="0"/>
    </xf>
    <xf numFmtId="185" fontId="16" fillId="44" borderId="17" xfId="0" applyNumberFormat="1" applyFont="1" applyFill="1" applyBorder="1" applyAlignment="1">
      <alignment vertical="top" wrapText="1"/>
    </xf>
    <xf numFmtId="185" fontId="16" fillId="44" borderId="29" xfId="0" applyNumberFormat="1" applyFont="1" applyFill="1" applyBorder="1" applyAlignment="1">
      <alignment vertical="top" wrapText="1"/>
    </xf>
    <xf numFmtId="185" fontId="16" fillId="44" borderId="17" xfId="0" applyNumberFormat="1" applyFont="1" applyFill="1" applyBorder="1" applyAlignment="1" applyProtection="1">
      <alignment vertical="top" wrapText="1"/>
      <protection locked="0"/>
    </xf>
    <xf numFmtId="185" fontId="16" fillId="44" borderId="29" xfId="0" applyNumberFormat="1" applyFont="1" applyFill="1" applyBorder="1" applyAlignment="1" applyProtection="1">
      <alignment vertical="top" wrapText="1"/>
      <protection locked="0"/>
    </xf>
    <xf numFmtId="0" fontId="16" fillId="44" borderId="25" xfId="0" applyFont="1" applyFill="1" applyBorder="1" applyAlignment="1">
      <alignment vertical="top" wrapText="1"/>
    </xf>
    <xf numFmtId="185" fontId="16" fillId="44" borderId="25" xfId="0" applyNumberFormat="1" applyFont="1" applyFill="1" applyBorder="1" applyAlignment="1" applyProtection="1">
      <alignment vertical="top" wrapText="1"/>
      <protection locked="0"/>
    </xf>
    <xf numFmtId="185" fontId="16" fillId="44" borderId="30" xfId="0" applyNumberFormat="1" applyFont="1" applyFill="1" applyBorder="1" applyAlignment="1" applyProtection="1">
      <alignment vertical="top" wrapText="1"/>
      <protection locked="0"/>
    </xf>
    <xf numFmtId="185" fontId="16" fillId="44" borderId="25" xfId="0" applyNumberFormat="1" applyFont="1" applyFill="1" applyBorder="1" applyAlignment="1">
      <alignment vertical="top" wrapText="1"/>
    </xf>
    <xf numFmtId="185" fontId="16" fillId="44" borderId="15" xfId="0" applyNumberFormat="1" applyFont="1" applyFill="1" applyBorder="1" applyAlignment="1">
      <alignment vertical="top" wrapText="1"/>
    </xf>
    <xf numFmtId="185" fontId="16" fillId="44" borderId="30" xfId="0" applyNumberFormat="1" applyFont="1" applyFill="1" applyBorder="1" applyAlignment="1">
      <alignment vertical="top" wrapText="1"/>
    </xf>
    <xf numFmtId="0" fontId="5" fillId="36" borderId="38" xfId="50" applyFont="1" applyFill="1" applyBorder="1" applyAlignment="1">
      <alignment vertical="center"/>
      <protection/>
    </xf>
    <xf numFmtId="10" fontId="0" fillId="41" borderId="15" xfId="0" applyNumberFormat="1" applyFont="1" applyFill="1" applyBorder="1" applyAlignment="1">
      <alignment horizontal="center"/>
    </xf>
    <xf numFmtId="171" fontId="16" fillId="45" borderId="28" xfId="0" applyNumberFormat="1" applyFont="1" applyFill="1" applyBorder="1" applyAlignment="1">
      <alignment horizontal="center" vertical="center" wrapText="1"/>
    </xf>
    <xf numFmtId="171" fontId="16" fillId="45" borderId="17" xfId="0" applyNumberFormat="1" applyFont="1" applyFill="1" applyBorder="1" applyAlignment="1">
      <alignment horizontal="center" vertical="center" wrapText="1"/>
    </xf>
    <xf numFmtId="0" fontId="37" fillId="0" borderId="0" xfId="0" applyNumberFormat="1" applyFont="1" applyBorder="1" applyAlignment="1">
      <alignment/>
    </xf>
    <xf numFmtId="0" fontId="6" fillId="36" borderId="15" xfId="0" applyFont="1" applyFill="1" applyBorder="1" applyAlignment="1">
      <alignment horizontal="center" vertical="center" wrapText="1"/>
    </xf>
    <xf numFmtId="10" fontId="0" fillId="0" borderId="0" xfId="0" applyNumberFormat="1" applyFont="1" applyAlignment="1">
      <alignment/>
    </xf>
    <xf numFmtId="49" fontId="32" fillId="37" borderId="26" xfId="0" applyNumberFormat="1" applyFont="1" applyFill="1" applyBorder="1" applyAlignment="1" applyProtection="1">
      <alignment vertical="center"/>
      <protection/>
    </xf>
    <xf numFmtId="1" fontId="32" fillId="36" borderId="15" xfId="64" applyNumberFormat="1" applyFont="1" applyFill="1" applyBorder="1" applyAlignment="1" applyProtection="1">
      <alignment horizontal="center" vertical="center" wrapText="1"/>
      <protection/>
    </xf>
    <xf numFmtId="171" fontId="33" fillId="36" borderId="15" xfId="64" applyNumberFormat="1" applyFont="1" applyFill="1" applyBorder="1" applyAlignment="1" applyProtection="1">
      <alignment horizontal="left" vertical="center" indent="2"/>
      <protection/>
    </xf>
    <xf numFmtId="0" fontId="6" fillId="44" borderId="27" xfId="0" applyFont="1" applyFill="1" applyBorder="1" applyAlignment="1">
      <alignment vertical="top" wrapText="1"/>
    </xf>
    <xf numFmtId="0" fontId="6" fillId="44" borderId="25" xfId="0" applyFont="1" applyFill="1" applyBorder="1" applyAlignment="1">
      <alignment vertical="top" wrapText="1"/>
    </xf>
    <xf numFmtId="0" fontId="2" fillId="0" borderId="0" xfId="49" applyFont="1">
      <alignment/>
      <protection/>
    </xf>
    <xf numFmtId="0" fontId="2" fillId="0" borderId="0" xfId="49" applyFont="1" applyAlignment="1">
      <alignment horizontal="center" vertical="center"/>
      <protection/>
    </xf>
    <xf numFmtId="0" fontId="0" fillId="0" borderId="0" xfId="49" applyFont="1">
      <alignment/>
      <protection/>
    </xf>
    <xf numFmtId="0" fontId="0" fillId="0" borderId="40" xfId="49" applyFont="1" applyBorder="1" applyAlignment="1">
      <alignment horizontal="left" wrapText="1"/>
      <protection/>
    </xf>
    <xf numFmtId="0" fontId="5" fillId="46" borderId="46" xfId="49" applyFont="1" applyFill="1" applyBorder="1" applyAlignment="1">
      <alignment horizontal="center" vertical="top" wrapText="1"/>
      <protection/>
    </xf>
    <xf numFmtId="0" fontId="5" fillId="46" borderId="47" xfId="49" applyFont="1" applyFill="1" applyBorder="1" applyAlignment="1">
      <alignment horizontal="center" vertical="top" wrapText="1"/>
      <protection/>
    </xf>
    <xf numFmtId="0" fontId="5" fillId="46" borderId="46" xfId="49" applyFont="1" applyFill="1" applyBorder="1" applyAlignment="1">
      <alignment horizontal="center" wrapText="1"/>
      <protection/>
    </xf>
    <xf numFmtId="0" fontId="5" fillId="46" borderId="48" xfId="49" applyFont="1" applyFill="1" applyBorder="1" applyAlignment="1">
      <alignment horizontal="center" vertical="top" wrapText="1"/>
      <protection/>
    </xf>
    <xf numFmtId="0" fontId="5" fillId="46" borderId="49" xfId="49" applyFont="1" applyFill="1" applyBorder="1" applyAlignment="1">
      <alignment horizontal="center" vertical="top" wrapText="1"/>
      <protection/>
    </xf>
    <xf numFmtId="0" fontId="5" fillId="46" borderId="50" xfId="49" applyFont="1" applyFill="1" applyBorder="1" applyAlignment="1">
      <alignment horizontal="center" vertical="top" wrapText="1"/>
      <protection/>
    </xf>
    <xf numFmtId="0" fontId="5" fillId="46" borderId="51" xfId="49" applyFont="1" applyFill="1" applyBorder="1" applyAlignment="1">
      <alignment vertical="top" wrapText="1"/>
      <protection/>
    </xf>
    <xf numFmtId="0" fontId="5" fillId="46" borderId="51" xfId="49" applyFont="1" applyFill="1" applyBorder="1" applyAlignment="1">
      <alignment horizontal="center" vertical="top" wrapText="1"/>
      <protection/>
    </xf>
    <xf numFmtId="0" fontId="5" fillId="46" borderId="50" xfId="49" applyFont="1" applyFill="1" applyBorder="1" applyAlignment="1">
      <alignment horizontal="center" wrapText="1"/>
      <protection/>
    </xf>
    <xf numFmtId="0" fontId="0" fillId="0" borderId="17" xfId="49" applyFont="1" applyBorder="1" applyAlignment="1">
      <alignment wrapText="1"/>
      <protection/>
    </xf>
    <xf numFmtId="0" fontId="0" fillId="0" borderId="17" xfId="49" applyFont="1" applyBorder="1" applyAlignment="1">
      <alignment horizontal="left" wrapText="1" indent="1"/>
      <protection/>
    </xf>
    <xf numFmtId="0" fontId="0" fillId="0" borderId="17" xfId="49" applyFont="1" applyBorder="1" applyAlignment="1">
      <alignment horizontal="left" wrapText="1" indent="2"/>
      <protection/>
    </xf>
    <xf numFmtId="0" fontId="0" fillId="0" borderId="17" xfId="49" applyFont="1" applyBorder="1" applyAlignment="1">
      <alignment horizontal="left" indent="2"/>
      <protection/>
    </xf>
    <xf numFmtId="0" fontId="0" fillId="0" borderId="17" xfId="49" applyFont="1" applyBorder="1" applyAlignment="1">
      <alignment horizontal="left" indent="1"/>
      <protection/>
    </xf>
    <xf numFmtId="0" fontId="0" fillId="0" borderId="25" xfId="49" applyFont="1" applyBorder="1" applyAlignment="1">
      <alignment wrapText="1"/>
      <protection/>
    </xf>
    <xf numFmtId="0" fontId="121" fillId="0" borderId="0" xfId="49" applyFont="1">
      <alignment/>
      <protection/>
    </xf>
    <xf numFmtId="170" fontId="31" fillId="0" borderId="0" xfId="0" applyNumberFormat="1" applyFont="1" applyFill="1" applyAlignment="1">
      <alignment/>
    </xf>
    <xf numFmtId="10" fontId="0" fillId="0" borderId="15" xfId="49" applyNumberFormat="1" applyFont="1" applyBorder="1" applyAlignment="1">
      <alignment wrapText="1"/>
      <protection/>
    </xf>
    <xf numFmtId="0" fontId="5" fillId="46" borderId="15" xfId="49" applyFont="1" applyFill="1" applyBorder="1" applyAlignment="1">
      <alignment horizontal="center" wrapText="1"/>
      <protection/>
    </xf>
    <xf numFmtId="0" fontId="5" fillId="46" borderId="15" xfId="49" applyFont="1" applyFill="1" applyBorder="1" applyAlignment="1">
      <alignment horizontal="center" vertical="top" wrapText="1"/>
      <protection/>
    </xf>
    <xf numFmtId="0" fontId="16" fillId="47" borderId="46" xfId="0" applyFont="1" applyFill="1" applyBorder="1" applyAlignment="1">
      <alignment horizontal="center" vertical="top" wrapText="1"/>
    </xf>
    <xf numFmtId="0" fontId="16" fillId="47" borderId="47" xfId="0" applyFont="1" applyFill="1" applyBorder="1" applyAlignment="1">
      <alignment horizontal="center" vertical="top" wrapText="1"/>
    </xf>
    <xf numFmtId="0" fontId="16" fillId="47" borderId="46" xfId="0" applyFont="1" applyFill="1" applyBorder="1" applyAlignment="1">
      <alignment horizontal="center" wrapText="1"/>
    </xf>
    <xf numFmtId="0" fontId="16" fillId="47" borderId="48" xfId="0" applyFont="1" applyFill="1" applyBorder="1" applyAlignment="1">
      <alignment horizontal="center" vertical="top" wrapText="1"/>
    </xf>
    <xf numFmtId="0" fontId="16" fillId="47" borderId="49" xfId="0" applyFont="1" applyFill="1" applyBorder="1" applyAlignment="1">
      <alignment horizontal="center" vertical="top" wrapText="1"/>
    </xf>
    <xf numFmtId="0" fontId="16" fillId="47" borderId="48" xfId="0" applyFont="1" applyFill="1" applyBorder="1" applyAlignment="1">
      <alignment horizontal="center" wrapText="1"/>
    </xf>
    <xf numFmtId="0" fontId="16" fillId="47" borderId="52" xfId="0" applyFont="1" applyFill="1" applyBorder="1" applyAlignment="1">
      <alignment horizontal="center" vertical="top" wrapText="1"/>
    </xf>
    <xf numFmtId="0" fontId="16" fillId="47" borderId="51" xfId="0" applyFont="1" applyFill="1" applyBorder="1" applyAlignment="1">
      <alignment vertical="top" wrapText="1"/>
    </xf>
    <xf numFmtId="0" fontId="16" fillId="47" borderId="51" xfId="0" applyFont="1" applyFill="1" applyBorder="1" applyAlignment="1">
      <alignment horizontal="center" vertical="top" wrapText="1"/>
    </xf>
    <xf numFmtId="0" fontId="16" fillId="47" borderId="50" xfId="0" applyFont="1" applyFill="1" applyBorder="1" applyAlignment="1">
      <alignment horizontal="center" wrapText="1"/>
    </xf>
    <xf numFmtId="0" fontId="16" fillId="47" borderId="0" xfId="0" applyFont="1" applyFill="1" applyBorder="1" applyAlignment="1">
      <alignment wrapText="1"/>
    </xf>
    <xf numFmtId="0" fontId="5" fillId="0" borderId="0" xfId="0" applyFont="1" applyFill="1" applyBorder="1" applyAlignment="1">
      <alignment horizontal="left"/>
    </xf>
    <xf numFmtId="168" fontId="5" fillId="0" borderId="15" xfId="0" applyNumberFormat="1" applyFont="1" applyFill="1" applyBorder="1" applyAlignment="1">
      <alignment horizontal="left"/>
    </xf>
    <xf numFmtId="171" fontId="0" fillId="0" borderId="0" xfId="0" applyNumberFormat="1" applyFont="1" applyAlignment="1">
      <alignment/>
    </xf>
    <xf numFmtId="171" fontId="0" fillId="0" borderId="15" xfId="49" applyNumberFormat="1" applyFont="1" applyBorder="1" applyAlignment="1">
      <alignment wrapText="1"/>
      <protection/>
    </xf>
    <xf numFmtId="10" fontId="6" fillId="36" borderId="15" xfId="0" applyNumberFormat="1" applyFont="1" applyFill="1" applyBorder="1" applyAlignment="1">
      <alignment/>
    </xf>
    <xf numFmtId="185" fontId="41" fillId="0" borderId="17" xfId="0" applyNumberFormat="1" applyFont="1" applyFill="1" applyBorder="1" applyAlignment="1">
      <alignment wrapText="1"/>
    </xf>
    <xf numFmtId="171" fontId="32" fillId="0" borderId="15" xfId="0" applyNumberFormat="1" applyFont="1" applyFill="1" applyBorder="1" applyAlignment="1" applyProtection="1">
      <alignment vertical="center"/>
      <protection/>
    </xf>
    <xf numFmtId="171" fontId="33" fillId="0" borderId="15" xfId="0" applyNumberFormat="1" applyFont="1" applyFill="1" applyBorder="1" applyAlignment="1" applyProtection="1">
      <alignment horizontal="left" vertical="center" indent="1"/>
      <protection/>
    </xf>
    <xf numFmtId="49" fontId="33" fillId="37" borderId="26" xfId="0" applyNumberFormat="1" applyFont="1" applyFill="1" applyBorder="1" applyAlignment="1" applyProtection="1">
      <alignment horizontal="left" vertical="center" wrapText="1"/>
      <protection/>
    </xf>
    <xf numFmtId="214" fontId="0" fillId="36" borderId="15" xfId="50" applyNumberFormat="1" applyFont="1" applyFill="1" applyBorder="1" applyAlignment="1">
      <alignment horizontal="left" vertical="center"/>
      <protection/>
    </xf>
    <xf numFmtId="0" fontId="2" fillId="36" borderId="27" xfId="0" applyFont="1" applyFill="1" applyBorder="1" applyAlignment="1">
      <alignment/>
    </xf>
    <xf numFmtId="214" fontId="5" fillId="36" borderId="15" xfId="50" applyNumberFormat="1" applyFont="1" applyFill="1" applyBorder="1" applyAlignment="1">
      <alignment horizontal="left" vertical="center"/>
      <protection/>
    </xf>
    <xf numFmtId="214" fontId="0" fillId="36" borderId="15" xfId="50" applyNumberFormat="1" applyFont="1" applyFill="1" applyBorder="1" applyAlignment="1">
      <alignment horizontal="left" vertical="center" wrapText="1"/>
      <protection/>
    </xf>
    <xf numFmtId="0" fontId="0" fillId="36" borderId="0" xfId="0" applyFont="1" applyFill="1" applyBorder="1" applyAlignment="1">
      <alignment horizontal="left"/>
    </xf>
    <xf numFmtId="38" fontId="18" fillId="0" borderId="0" xfId="0" applyNumberFormat="1" applyFont="1" applyAlignment="1" applyProtection="1">
      <alignment horizontal="left"/>
      <protection locked="0"/>
    </xf>
    <xf numFmtId="38" fontId="4" fillId="0" borderId="0" xfId="0" applyNumberFormat="1" applyFont="1" applyAlignment="1" applyProtection="1">
      <alignment horizontal="left"/>
      <protection locked="0"/>
    </xf>
    <xf numFmtId="38" fontId="4" fillId="0" borderId="0" xfId="0" applyNumberFormat="1" applyFont="1" applyBorder="1" applyAlignment="1" applyProtection="1">
      <alignment horizontal="left"/>
      <protection locked="0"/>
    </xf>
    <xf numFmtId="38" fontId="4" fillId="0" borderId="0" xfId="0" applyNumberFormat="1" applyFont="1" applyAlignment="1">
      <alignment horizontal="left"/>
    </xf>
    <xf numFmtId="0" fontId="50" fillId="0" borderId="0" xfId="0" applyFont="1" applyBorder="1" applyAlignment="1" applyProtection="1">
      <alignment horizontal="left"/>
      <protection locked="0"/>
    </xf>
    <xf numFmtId="0" fontId="2" fillId="33" borderId="0" xfId="0" applyFont="1" applyFill="1" applyBorder="1" applyAlignment="1" applyProtection="1">
      <alignment horizontal="left"/>
      <protection locked="0"/>
    </xf>
    <xf numFmtId="0" fontId="0" fillId="36" borderId="27" xfId="0" applyFont="1" applyFill="1" applyBorder="1" applyAlignment="1">
      <alignment horizontal="left"/>
    </xf>
    <xf numFmtId="0" fontId="0" fillId="0" borderId="0" xfId="0" applyFont="1" applyFill="1" applyAlignment="1">
      <alignment horizontal="left"/>
    </xf>
    <xf numFmtId="0" fontId="18" fillId="33" borderId="0" xfId="0" applyNumberFormat="1" applyFont="1" applyFill="1" applyBorder="1" applyAlignment="1" applyProtection="1">
      <alignment horizontal="left" vertical="center"/>
      <protection locked="0"/>
    </xf>
    <xf numFmtId="214" fontId="0" fillId="36" borderId="30" xfId="50" applyNumberFormat="1" applyFont="1" applyFill="1" applyBorder="1" applyAlignment="1">
      <alignment horizontal="left" vertical="center"/>
      <protection/>
    </xf>
    <xf numFmtId="214" fontId="5" fillId="36" borderId="30" xfId="50" applyNumberFormat="1" applyFont="1" applyFill="1" applyBorder="1" applyAlignment="1">
      <alignment horizontal="left" vertical="center"/>
      <protection/>
    </xf>
    <xf numFmtId="214" fontId="0" fillId="38" borderId="15" xfId="50" applyNumberFormat="1" applyFont="1" applyFill="1" applyBorder="1" applyAlignment="1">
      <alignment horizontal="left" vertical="center"/>
      <protection/>
    </xf>
    <xf numFmtId="197" fontId="5" fillId="36" borderId="17" xfId="46" applyFont="1" applyFill="1" applyBorder="1" applyAlignment="1">
      <alignment horizontal="center" vertical="center"/>
    </xf>
    <xf numFmtId="198" fontId="5" fillId="36" borderId="45" xfId="0" applyNumberFormat="1" applyFont="1" applyFill="1" applyBorder="1" applyAlignment="1">
      <alignment horizontal="center" vertical="center"/>
    </xf>
    <xf numFmtId="0" fontId="5" fillId="2" borderId="15" xfId="50" applyFont="1" applyFill="1" applyBorder="1" applyAlignment="1">
      <alignment vertical="center"/>
      <protection/>
    </xf>
    <xf numFmtId="214" fontId="5" fillId="2" borderId="15" xfId="50" applyNumberFormat="1" applyFont="1" applyFill="1" applyBorder="1" applyAlignment="1">
      <alignment horizontal="left" vertical="center"/>
      <protection/>
    </xf>
    <xf numFmtId="0" fontId="5" fillId="2" borderId="15" xfId="50" applyNumberFormat="1" applyFont="1" applyFill="1" applyBorder="1" applyAlignment="1">
      <alignment vertical="center" wrapText="1"/>
      <protection/>
    </xf>
    <xf numFmtId="171" fontId="5" fillId="2" borderId="15" xfId="0" applyNumberFormat="1" applyFont="1" applyFill="1" applyBorder="1" applyAlignment="1">
      <alignment/>
    </xf>
    <xf numFmtId="0" fontId="5" fillId="2" borderId="0" xfId="0" applyFont="1" applyFill="1" applyAlignment="1">
      <alignment/>
    </xf>
    <xf numFmtId="0" fontId="1" fillId="36" borderId="15" xfId="0" applyFont="1" applyFill="1" applyBorder="1" applyAlignment="1">
      <alignment/>
    </xf>
    <xf numFmtId="0" fontId="2" fillId="36" borderId="15" xfId="0" applyFont="1" applyFill="1" applyBorder="1" applyAlignment="1">
      <alignment/>
    </xf>
    <xf numFmtId="185" fontId="10" fillId="0" borderId="14" xfId="64" applyFont="1" applyBorder="1" applyAlignment="1" applyProtection="1">
      <alignment/>
      <protection locked="0"/>
    </xf>
    <xf numFmtId="0" fontId="0" fillId="0" borderId="0" xfId="0" applyBorder="1" applyAlignment="1">
      <alignment/>
    </xf>
    <xf numFmtId="185" fontId="1" fillId="36" borderId="15" xfId="0" applyNumberFormat="1" applyFont="1" applyFill="1" applyBorder="1" applyAlignment="1">
      <alignment/>
    </xf>
    <xf numFmtId="171" fontId="51" fillId="0" borderId="15" xfId="49" applyNumberFormat="1" applyFont="1" applyBorder="1" applyAlignment="1">
      <alignment wrapText="1"/>
      <protection/>
    </xf>
    <xf numFmtId="171" fontId="51" fillId="0" borderId="15" xfId="0" applyNumberFormat="1" applyFont="1" applyFill="1" applyBorder="1" applyAlignment="1">
      <alignment wrapText="1"/>
    </xf>
    <xf numFmtId="185" fontId="0" fillId="0" borderId="0" xfId="64" applyFont="1" applyFill="1" applyAlignment="1">
      <alignment/>
    </xf>
    <xf numFmtId="171" fontId="52" fillId="36" borderId="10" xfId="0" applyNumberFormat="1" applyFont="1" applyFill="1" applyBorder="1" applyAlignment="1" applyProtection="1">
      <alignment horizontal="right"/>
      <protection locked="0"/>
    </xf>
    <xf numFmtId="43" fontId="1" fillId="0" borderId="0" xfId="0" applyNumberFormat="1" applyFont="1" applyBorder="1" applyAlignment="1" applyProtection="1">
      <alignment horizontal="center"/>
      <protection locked="0"/>
    </xf>
    <xf numFmtId="43" fontId="7" fillId="0" borderId="0" xfId="0" applyNumberFormat="1" applyFont="1" applyFill="1" applyAlignment="1">
      <alignment/>
    </xf>
    <xf numFmtId="185" fontId="0" fillId="0" borderId="0" xfId="64" applyFont="1" applyFill="1" applyAlignment="1">
      <alignment/>
    </xf>
    <xf numFmtId="43" fontId="0" fillId="0" borderId="0" xfId="0" applyNumberFormat="1" applyFill="1" applyAlignment="1">
      <alignment/>
    </xf>
    <xf numFmtId="43" fontId="5" fillId="2" borderId="0" xfId="0" applyNumberFormat="1" applyFont="1" applyFill="1" applyAlignment="1">
      <alignment/>
    </xf>
    <xf numFmtId="43" fontId="5" fillId="0" borderId="0" xfId="0" applyNumberFormat="1" applyFont="1" applyFill="1" applyAlignment="1">
      <alignment/>
    </xf>
    <xf numFmtId="43" fontId="30" fillId="0" borderId="0" xfId="0" applyNumberFormat="1" applyFont="1" applyFill="1" applyAlignment="1" applyProtection="1">
      <alignment/>
      <protection locked="0"/>
    </xf>
    <xf numFmtId="171" fontId="53" fillId="36" borderId="10" xfId="0" applyNumberFormat="1" applyFont="1" applyFill="1" applyBorder="1" applyAlignment="1" applyProtection="1">
      <alignment horizontal="right"/>
      <protection locked="0"/>
    </xf>
    <xf numFmtId="185" fontId="4" fillId="0" borderId="0" xfId="64" applyFont="1" applyAlignment="1">
      <alignment/>
    </xf>
    <xf numFmtId="43" fontId="29" fillId="0" borderId="0" xfId="0" applyNumberFormat="1" applyFont="1" applyFill="1" applyAlignment="1">
      <alignment/>
    </xf>
    <xf numFmtId="171" fontId="20" fillId="36" borderId="15" xfId="0" applyNumberFormat="1" applyFont="1" applyFill="1" applyBorder="1" applyAlignment="1">
      <alignment/>
    </xf>
    <xf numFmtId="43" fontId="9" fillId="0" borderId="0" xfId="0" applyNumberFormat="1" applyFont="1" applyFill="1" applyAlignment="1">
      <alignment/>
    </xf>
    <xf numFmtId="43" fontId="28" fillId="0" borderId="0" xfId="0" applyNumberFormat="1" applyFont="1" applyFill="1" applyAlignment="1">
      <alignment/>
    </xf>
    <xf numFmtId="171" fontId="14" fillId="48" borderId="28" xfId="0" applyNumberFormat="1" applyFont="1" applyFill="1" applyBorder="1" applyAlignment="1">
      <alignment wrapText="1"/>
    </xf>
    <xf numFmtId="171" fontId="14" fillId="48" borderId="29" xfId="0" applyNumberFormat="1" applyFont="1" applyFill="1" applyBorder="1" applyAlignment="1">
      <alignment wrapText="1"/>
    </xf>
    <xf numFmtId="171" fontId="14" fillId="48" borderId="30" xfId="0" applyNumberFormat="1" applyFont="1" applyFill="1" applyBorder="1" applyAlignment="1">
      <alignment wrapText="1"/>
    </xf>
    <xf numFmtId="4" fontId="14" fillId="48" borderId="28" xfId="0" applyNumberFormat="1" applyFont="1" applyFill="1" applyBorder="1" applyAlignment="1">
      <alignment wrapText="1"/>
    </xf>
    <xf numFmtId="4" fontId="14" fillId="48" borderId="29" xfId="0" applyNumberFormat="1" applyFont="1" applyFill="1" applyBorder="1" applyAlignment="1">
      <alignment wrapText="1"/>
    </xf>
    <xf numFmtId="4" fontId="14" fillId="48" borderId="30" xfId="0" applyNumberFormat="1" applyFont="1" applyFill="1" applyBorder="1" applyAlignment="1">
      <alignment wrapText="1"/>
    </xf>
    <xf numFmtId="10" fontId="14" fillId="2" borderId="15" xfId="0" applyNumberFormat="1" applyFont="1" applyFill="1" applyBorder="1" applyAlignment="1">
      <alignment wrapText="1"/>
    </xf>
    <xf numFmtId="9" fontId="14" fillId="2" borderId="15" xfId="0" applyNumberFormat="1" applyFont="1" applyFill="1" applyBorder="1" applyAlignment="1">
      <alignment wrapText="1"/>
    </xf>
    <xf numFmtId="171" fontId="14" fillId="2" borderId="17" xfId="0" applyNumberFormat="1" applyFont="1" applyFill="1" applyBorder="1" applyAlignment="1">
      <alignment horizontal="right" vertical="top"/>
    </xf>
    <xf numFmtId="171" fontId="14" fillId="2" borderId="17" xfId="0" applyNumberFormat="1" applyFont="1" applyFill="1" applyBorder="1" applyAlignment="1">
      <alignment horizontal="right"/>
    </xf>
    <xf numFmtId="0" fontId="16" fillId="0" borderId="0" xfId="0" applyFont="1" applyBorder="1" applyAlignment="1">
      <alignment/>
    </xf>
    <xf numFmtId="3" fontId="54" fillId="0" borderId="0" xfId="0" applyNumberFormat="1" applyFont="1" applyAlignment="1">
      <alignment/>
    </xf>
    <xf numFmtId="0" fontId="54" fillId="0" borderId="0" xfId="0" applyFont="1" applyAlignment="1">
      <alignment/>
    </xf>
    <xf numFmtId="3" fontId="55" fillId="36" borderId="15" xfId="0" applyNumberFormat="1" applyFont="1" applyFill="1" applyBorder="1" applyAlignment="1">
      <alignment horizontal="center"/>
    </xf>
    <xf numFmtId="0" fontId="55" fillId="36" borderId="15" xfId="0" applyFont="1" applyFill="1" applyBorder="1" applyAlignment="1">
      <alignment horizontal="center"/>
    </xf>
    <xf numFmtId="171" fontId="54" fillId="2" borderId="15" xfId="0" applyNumberFormat="1" applyFont="1" applyFill="1" applyBorder="1" applyAlignment="1" applyProtection="1">
      <alignment/>
      <protection locked="0"/>
    </xf>
    <xf numFmtId="171" fontId="54" fillId="2" borderId="15" xfId="0" applyNumberFormat="1" applyFont="1" applyFill="1" applyBorder="1" applyAlignment="1">
      <alignment/>
    </xf>
    <xf numFmtId="171" fontId="55" fillId="2" borderId="15" xfId="0" applyNumberFormat="1" applyFont="1" applyFill="1" applyBorder="1" applyAlignment="1">
      <alignment/>
    </xf>
    <xf numFmtId="171" fontId="56" fillId="2" borderId="15" xfId="0" applyNumberFormat="1" applyFont="1" applyFill="1" applyBorder="1" applyAlignment="1">
      <alignment/>
    </xf>
    <xf numFmtId="0" fontId="57" fillId="0" borderId="0" xfId="0" applyFont="1" applyAlignment="1">
      <alignment/>
    </xf>
    <xf numFmtId="171" fontId="55" fillId="2" borderId="15" xfId="0" applyNumberFormat="1" applyFont="1" applyFill="1" applyBorder="1" applyAlignment="1" applyProtection="1">
      <alignment/>
      <protection locked="0"/>
    </xf>
    <xf numFmtId="171" fontId="56" fillId="45" borderId="0" xfId="0" applyNumberFormat="1" applyFont="1" applyFill="1" applyBorder="1" applyAlignment="1">
      <alignment/>
    </xf>
    <xf numFmtId="171" fontId="55" fillId="34" borderId="15" xfId="0" applyNumberFormat="1" applyFont="1" applyFill="1" applyBorder="1" applyAlignment="1">
      <alignment/>
    </xf>
    <xf numFmtId="171" fontId="54" fillId="0" borderId="15" xfId="0" applyNumberFormat="1" applyFont="1" applyBorder="1" applyAlignment="1">
      <alignment/>
    </xf>
    <xf numFmtId="3" fontId="55" fillId="40" borderId="15" xfId="0" applyNumberFormat="1" applyFont="1" applyFill="1" applyBorder="1" applyAlignment="1">
      <alignment/>
    </xf>
    <xf numFmtId="171" fontId="55" fillId="40" borderId="15" xfId="0" applyNumberFormat="1" applyFont="1" applyFill="1" applyBorder="1" applyAlignment="1">
      <alignment/>
    </xf>
    <xf numFmtId="185" fontId="5" fillId="0" borderId="0" xfId="64" applyFont="1" applyFill="1" applyBorder="1" applyAlignment="1">
      <alignment horizontal="left"/>
    </xf>
    <xf numFmtId="43" fontId="5" fillId="0" borderId="0" xfId="0" applyNumberFormat="1" applyFont="1" applyFill="1" applyBorder="1" applyAlignment="1">
      <alignment horizontal="left"/>
    </xf>
    <xf numFmtId="171" fontId="14" fillId="2" borderId="17" xfId="0" applyNumberFormat="1" applyFont="1" applyFill="1" applyBorder="1" applyAlignment="1">
      <alignment horizontal="right" wrapText="1"/>
    </xf>
    <xf numFmtId="171" fontId="14" fillId="0" borderId="17" xfId="0" applyNumberFormat="1" applyFont="1" applyFill="1" applyBorder="1" applyAlignment="1">
      <alignment horizontal="right" wrapText="1"/>
    </xf>
    <xf numFmtId="171" fontId="14" fillId="0" borderId="17" xfId="0" applyNumberFormat="1" applyFont="1" applyFill="1" applyBorder="1" applyAlignment="1" applyProtection="1">
      <alignment horizontal="right"/>
      <protection locked="0"/>
    </xf>
    <xf numFmtId="171" fontId="14" fillId="44" borderId="17" xfId="0" applyNumberFormat="1" applyFont="1" applyFill="1" applyBorder="1" applyAlignment="1" applyProtection="1">
      <alignment horizontal="right"/>
      <protection locked="0"/>
    </xf>
    <xf numFmtId="171" fontId="14" fillId="44" borderId="25" xfId="0" applyNumberFormat="1" applyFont="1" applyFill="1" applyBorder="1" applyAlignment="1" applyProtection="1">
      <alignment horizontal="right"/>
      <protection locked="0"/>
    </xf>
    <xf numFmtId="185" fontId="14" fillId="0" borderId="17" xfId="64" applyFont="1" applyFill="1" applyBorder="1" applyAlignment="1">
      <alignment horizontal="right" wrapText="1"/>
    </xf>
    <xf numFmtId="0" fontId="0" fillId="0" borderId="0" xfId="0" applyFont="1" applyAlignment="1">
      <alignment horizontal="center"/>
    </xf>
    <xf numFmtId="38" fontId="3" fillId="0" borderId="27" xfId="0" applyNumberFormat="1" applyFont="1" applyBorder="1" applyAlignment="1" applyProtection="1">
      <alignment/>
      <protection locked="0"/>
    </xf>
    <xf numFmtId="0" fontId="14" fillId="0" borderId="0" xfId="0" applyFont="1" applyAlignment="1">
      <alignment horizontal="center"/>
    </xf>
    <xf numFmtId="38" fontId="58" fillId="0" borderId="0" xfId="0" applyNumberFormat="1" applyFont="1" applyAlignment="1" applyProtection="1">
      <alignment/>
      <protection locked="0"/>
    </xf>
    <xf numFmtId="38" fontId="59" fillId="0" borderId="27" xfId="0" applyNumberFormat="1" applyFont="1" applyBorder="1" applyAlignment="1" applyProtection="1">
      <alignment/>
      <protection locked="0"/>
    </xf>
    <xf numFmtId="38" fontId="59" fillId="0" borderId="0" xfId="0" applyNumberFormat="1" applyFont="1" applyBorder="1" applyAlignment="1" applyProtection="1">
      <alignment/>
      <protection locked="0"/>
    </xf>
    <xf numFmtId="0" fontId="54" fillId="33" borderId="53" xfId="0" applyFont="1" applyFill="1" applyBorder="1" applyAlignment="1">
      <alignment horizontal="justify" vertical="center" wrapText="1"/>
    </xf>
    <xf numFmtId="0" fontId="54" fillId="33" borderId="54" xfId="0" applyFont="1" applyFill="1" applyBorder="1" applyAlignment="1">
      <alignment horizontal="justify" vertical="center" wrapText="1"/>
    </xf>
    <xf numFmtId="0" fontId="2" fillId="0" borderId="27" xfId="49" applyFont="1" applyBorder="1">
      <alignment/>
      <protection/>
    </xf>
    <xf numFmtId="0" fontId="0" fillId="0" borderId="0" xfId="0" applyFont="1" applyAlignment="1">
      <alignment wrapText="1"/>
    </xf>
    <xf numFmtId="0" fontId="0" fillId="0" borderId="0" xfId="0" applyFont="1" applyAlignment="1">
      <alignment horizontal="center" vertical="center" wrapText="1"/>
    </xf>
    <xf numFmtId="0" fontId="5" fillId="0" borderId="0" xfId="0" applyFont="1" applyAlignment="1">
      <alignment wrapText="1"/>
    </xf>
    <xf numFmtId="49" fontId="0" fillId="0" borderId="0" xfId="0" applyNumberFormat="1" applyFont="1" applyAlignment="1">
      <alignment wrapText="1"/>
    </xf>
    <xf numFmtId="4" fontId="122" fillId="0" borderId="55" xfId="0" applyNumberFormat="1" applyFont="1" applyFill="1" applyBorder="1" applyAlignment="1">
      <alignment horizontal="right" vertical="center" wrapText="1"/>
    </xf>
    <xf numFmtId="4" fontId="122" fillId="0" borderId="56" xfId="0" applyNumberFormat="1" applyFont="1" applyFill="1" applyBorder="1" applyAlignment="1">
      <alignment horizontal="right" vertical="center" wrapText="1"/>
    </xf>
    <xf numFmtId="4" fontId="122" fillId="0" borderId="57" xfId="0" applyNumberFormat="1" applyFont="1" applyFill="1" applyBorder="1" applyAlignment="1">
      <alignment horizontal="right" vertical="center" wrapText="1"/>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123" fillId="49" borderId="62" xfId="0" applyFont="1" applyFill="1" applyBorder="1" applyAlignment="1">
      <alignment horizontal="center" vertical="center"/>
    </xf>
    <xf numFmtId="0" fontId="0" fillId="0" borderId="63" xfId="0" applyBorder="1" applyAlignment="1">
      <alignment/>
    </xf>
    <xf numFmtId="4" fontId="123" fillId="49" borderId="62" xfId="0" applyNumberFormat="1" applyFont="1" applyFill="1" applyBorder="1" applyAlignment="1">
      <alignment horizontal="right" vertical="center"/>
    </xf>
    <xf numFmtId="0" fontId="0" fillId="0" borderId="64" xfId="0" applyBorder="1" applyAlignment="1">
      <alignment/>
    </xf>
    <xf numFmtId="0" fontId="122" fillId="0" borderId="55" xfId="0" applyFont="1" applyFill="1" applyBorder="1" applyAlignment="1">
      <alignment horizontal="right" vertical="center" wrapText="1"/>
    </xf>
    <xf numFmtId="0" fontId="122" fillId="0" borderId="56" xfId="0" applyFont="1" applyFill="1" applyBorder="1" applyAlignment="1">
      <alignment horizontal="right" vertical="center" wrapText="1"/>
    </xf>
    <xf numFmtId="0" fontId="122" fillId="0" borderId="57" xfId="0" applyFont="1" applyFill="1" applyBorder="1" applyAlignment="1">
      <alignment horizontal="right" vertical="center" wrapText="1"/>
    </xf>
    <xf numFmtId="0" fontId="122" fillId="0" borderId="62" xfId="0" applyFont="1" applyFill="1" applyBorder="1" applyAlignment="1">
      <alignment horizontal="right" vertical="center" wrapText="1"/>
    </xf>
    <xf numFmtId="0" fontId="0" fillId="0" borderId="65" xfId="0" applyBorder="1" applyAlignment="1">
      <alignment/>
    </xf>
    <xf numFmtId="4" fontId="122" fillId="0" borderId="62" xfId="0" applyNumberFormat="1" applyFont="1" applyFill="1" applyBorder="1" applyAlignment="1">
      <alignment horizontal="right" vertical="center" wrapText="1"/>
    </xf>
    <xf numFmtId="0" fontId="123" fillId="49" borderId="66" xfId="0" applyFont="1" applyFill="1" applyBorder="1" applyAlignment="1">
      <alignment horizontal="center" vertical="center" wrapText="1"/>
    </xf>
    <xf numFmtId="4" fontId="122" fillId="0" borderId="67" xfId="0" applyNumberFormat="1" applyFont="1" applyFill="1" applyBorder="1" applyAlignment="1">
      <alignment horizontal="right" vertical="center"/>
    </xf>
    <xf numFmtId="4" fontId="122" fillId="0" borderId="68" xfId="0" applyNumberFormat="1" applyFont="1" applyFill="1" applyBorder="1" applyAlignment="1">
      <alignment horizontal="right" vertical="center"/>
    </xf>
    <xf numFmtId="4" fontId="122" fillId="0" borderId="69" xfId="0" applyNumberFormat="1" applyFont="1" applyFill="1" applyBorder="1" applyAlignment="1">
      <alignment horizontal="right" vertical="center"/>
    </xf>
    <xf numFmtId="0" fontId="51" fillId="0" borderId="0" xfId="0" applyFont="1" applyAlignment="1">
      <alignment/>
    </xf>
    <xf numFmtId="185" fontId="16" fillId="44" borderId="15" xfId="0" applyNumberFormat="1" applyFont="1" applyFill="1" applyBorder="1" applyAlignment="1" applyProtection="1">
      <alignment/>
      <protection locked="0"/>
    </xf>
    <xf numFmtId="4" fontId="60" fillId="44" borderId="15" xfId="0" applyNumberFormat="1" applyFont="1" applyFill="1" applyBorder="1" applyAlignment="1" applyProtection="1">
      <alignment vertical="center"/>
      <protection locked="0"/>
    </xf>
    <xf numFmtId="0" fontId="38" fillId="0" borderId="33" xfId="0" applyFont="1" applyBorder="1" applyAlignment="1">
      <alignment/>
    </xf>
    <xf numFmtId="0" fontId="0" fillId="0" borderId="0" xfId="0" applyFont="1" applyAlignment="1">
      <alignment horizontal="left"/>
    </xf>
    <xf numFmtId="0" fontId="51" fillId="0" borderId="15" xfId="0" applyFont="1" applyBorder="1" applyAlignment="1">
      <alignment/>
    </xf>
    <xf numFmtId="185" fontId="51" fillId="0" borderId="15" xfId="64" applyFont="1" applyBorder="1" applyAlignment="1">
      <alignment/>
    </xf>
    <xf numFmtId="0" fontId="15" fillId="36" borderId="15" xfId="0" applyFont="1" applyFill="1" applyBorder="1" applyAlignment="1">
      <alignment horizontal="center" wrapText="1"/>
    </xf>
    <xf numFmtId="0" fontId="14" fillId="36" borderId="15" xfId="0" applyFont="1" applyFill="1" applyBorder="1" applyAlignment="1">
      <alignment horizontal="left" wrapText="1"/>
    </xf>
    <xf numFmtId="185" fontId="14" fillId="0" borderId="15" xfId="0" applyNumberFormat="1" applyFont="1" applyBorder="1" applyAlignment="1">
      <alignment horizontal="justify" vertical="top" wrapText="1"/>
    </xf>
    <xf numFmtId="0" fontId="14" fillId="0" borderId="15" xfId="0" applyFont="1" applyBorder="1" applyAlignment="1">
      <alignment horizontal="justify" vertical="top" wrapText="1"/>
    </xf>
    <xf numFmtId="4" fontId="14" fillId="0" borderId="15" xfId="0" applyNumberFormat="1" applyFont="1" applyBorder="1" applyAlignment="1">
      <alignment horizontal="justify" vertical="top" wrapText="1"/>
    </xf>
    <xf numFmtId="0" fontId="15" fillId="36" borderId="28" xfId="0" applyFont="1" applyFill="1" applyBorder="1" applyAlignment="1">
      <alignment horizontal="left" wrapText="1"/>
    </xf>
    <xf numFmtId="185" fontId="15" fillId="36" borderId="28" xfId="0" applyNumberFormat="1" applyFont="1" applyFill="1" applyBorder="1" applyAlignment="1">
      <alignment horizontal="justify" vertical="top" wrapText="1"/>
    </xf>
    <xf numFmtId="0" fontId="15" fillId="36" borderId="15" xfId="0" applyFont="1" applyFill="1" applyBorder="1" applyAlignment="1">
      <alignment horizontal="left" wrapText="1"/>
    </xf>
    <xf numFmtId="185" fontId="15" fillId="36" borderId="15" xfId="0" applyNumberFormat="1" applyFont="1" applyFill="1" applyBorder="1" applyAlignment="1">
      <alignment horizontal="justify" vertical="top" wrapText="1"/>
    </xf>
    <xf numFmtId="185" fontId="14" fillId="36" borderId="15" xfId="0" applyNumberFormat="1" applyFont="1" applyFill="1" applyBorder="1" applyAlignment="1">
      <alignment horizontal="justify" vertical="top" wrapText="1"/>
    </xf>
    <xf numFmtId="185" fontId="0" fillId="0" borderId="0" xfId="64" applyFont="1" applyAlignment="1">
      <alignment/>
    </xf>
    <xf numFmtId="0" fontId="0" fillId="0" borderId="15" xfId="0" applyFont="1" applyBorder="1" applyAlignment="1">
      <alignment/>
    </xf>
    <xf numFmtId="185" fontId="14" fillId="0" borderId="15" xfId="64" applyFont="1" applyBorder="1" applyAlignment="1">
      <alignment/>
    </xf>
    <xf numFmtId="0" fontId="124" fillId="0" borderId="15" xfId="0" applyFont="1" applyBorder="1" applyAlignment="1">
      <alignment/>
    </xf>
    <xf numFmtId="185" fontId="125" fillId="0" borderId="15" xfId="64" applyFont="1" applyBorder="1" applyAlignment="1">
      <alignment/>
    </xf>
    <xf numFmtId="0" fontId="5" fillId="0" borderId="15" xfId="0" applyFont="1" applyBorder="1" applyAlignment="1">
      <alignment/>
    </xf>
    <xf numFmtId="185" fontId="15" fillId="0" borderId="15" xfId="64" applyFont="1" applyBorder="1" applyAlignment="1">
      <alignment/>
    </xf>
    <xf numFmtId="0" fontId="15" fillId="0" borderId="0" xfId="0" applyFont="1" applyAlignment="1">
      <alignment/>
    </xf>
    <xf numFmtId="0" fontId="63" fillId="50" borderId="15" xfId="0" applyFont="1" applyFill="1" applyBorder="1" applyAlignment="1">
      <alignment wrapText="1"/>
    </xf>
    <xf numFmtId="0" fontId="63" fillId="50" borderId="15" xfId="0" applyFont="1" applyFill="1" applyBorder="1" applyAlignment="1">
      <alignment horizontal="center" wrapText="1"/>
    </xf>
    <xf numFmtId="3" fontId="12" fillId="50" borderId="15" xfId="0" applyNumberFormat="1" applyFont="1" applyFill="1" applyBorder="1" applyAlignment="1">
      <alignment horizontal="center" wrapText="1"/>
    </xf>
    <xf numFmtId="0" fontId="12" fillId="50" borderId="15" xfId="0" applyFont="1" applyFill="1" applyBorder="1" applyAlignment="1">
      <alignment horizontal="center" wrapText="1"/>
    </xf>
    <xf numFmtId="3" fontId="14" fillId="0" borderId="15" xfId="0" applyNumberFormat="1" applyFont="1" applyBorder="1" applyAlignment="1">
      <alignment horizontal="center"/>
    </xf>
    <xf numFmtId="0" fontId="64" fillId="0" borderId="15" xfId="0" applyFont="1" applyBorder="1" applyAlignment="1">
      <alignment wrapText="1"/>
    </xf>
    <xf numFmtId="0" fontId="64" fillId="0" borderId="15" xfId="0" applyFont="1" applyBorder="1" applyAlignment="1">
      <alignment horizontal="center" wrapText="1"/>
    </xf>
    <xf numFmtId="185" fontId="61" fillId="0" borderId="15" xfId="64" applyFont="1" applyBorder="1" applyAlignment="1">
      <alignment/>
    </xf>
    <xf numFmtId="185" fontId="64" fillId="0" borderId="15" xfId="64" applyFont="1" applyBorder="1" applyAlignment="1">
      <alignment wrapText="1"/>
    </xf>
    <xf numFmtId="185" fontId="126" fillId="0" borderId="15" xfId="64" applyFont="1" applyBorder="1" applyAlignment="1">
      <alignment wrapText="1"/>
    </xf>
    <xf numFmtId="185" fontId="127" fillId="0" borderId="15" xfId="64" applyFont="1" applyBorder="1" applyAlignment="1">
      <alignment wrapText="1"/>
    </xf>
    <xf numFmtId="185" fontId="64" fillId="0" borderId="15" xfId="64" applyFont="1" applyBorder="1" applyAlignment="1">
      <alignment/>
    </xf>
    <xf numFmtId="0" fontId="126" fillId="0" borderId="15" xfId="0" applyFont="1" applyBorder="1" applyAlignment="1">
      <alignment wrapText="1"/>
    </xf>
    <xf numFmtId="0" fontId="126" fillId="0" borderId="15" xfId="0" applyFont="1" applyBorder="1" applyAlignment="1">
      <alignment horizontal="center" wrapText="1"/>
    </xf>
    <xf numFmtId="185" fontId="66" fillId="50" borderId="15" xfId="64" applyFont="1" applyFill="1" applyBorder="1" applyAlignment="1">
      <alignment wrapText="1"/>
    </xf>
    <xf numFmtId="0" fontId="128" fillId="0" borderId="15" xfId="0" applyFont="1" applyBorder="1" applyAlignment="1">
      <alignment horizontal="center"/>
    </xf>
    <xf numFmtId="0" fontId="127" fillId="0" borderId="15" xfId="0" applyFont="1" applyBorder="1" applyAlignment="1">
      <alignment wrapText="1"/>
    </xf>
    <xf numFmtId="0" fontId="128" fillId="0" borderId="15" xfId="0" applyFont="1" applyBorder="1" applyAlignment="1">
      <alignment horizontal="center" wrapText="1"/>
    </xf>
    <xf numFmtId="0" fontId="127" fillId="0" borderId="15" xfId="0" applyFont="1" applyBorder="1" applyAlignment="1">
      <alignment horizontal="right"/>
    </xf>
    <xf numFmtId="0" fontId="127" fillId="0" borderId="70" xfId="0" applyFont="1" applyBorder="1" applyAlignment="1">
      <alignment horizontal="left"/>
    </xf>
    <xf numFmtId="0" fontId="127" fillId="0" borderId="38" xfId="0" applyFont="1" applyBorder="1" applyAlignment="1">
      <alignment horizontal="left"/>
    </xf>
    <xf numFmtId="0" fontId="127" fillId="0" borderId="15" xfId="0" applyFont="1" applyBorder="1" applyAlignment="1">
      <alignment horizontal="left"/>
    </xf>
    <xf numFmtId="185" fontId="127" fillId="0" borderId="15" xfId="64" applyFont="1" applyBorder="1" applyAlignment="1">
      <alignment vertical="top" wrapText="1"/>
    </xf>
    <xf numFmtId="197" fontId="127" fillId="0" borderId="15" xfId="46" applyFont="1" applyBorder="1" applyAlignment="1">
      <alignment/>
    </xf>
    <xf numFmtId="197" fontId="127" fillId="0" borderId="15" xfId="46" applyFont="1" applyBorder="1" applyAlignment="1">
      <alignment horizontal="right"/>
    </xf>
    <xf numFmtId="0" fontId="127" fillId="0" borderId="15" xfId="0" applyFont="1" applyBorder="1" applyAlignment="1">
      <alignment vertical="top" wrapText="1"/>
    </xf>
    <xf numFmtId="197" fontId="51" fillId="0" borderId="15" xfId="46" applyFont="1" applyBorder="1" applyAlignment="1">
      <alignment/>
    </xf>
    <xf numFmtId="43" fontId="14" fillId="0" borderId="0" xfId="0" applyNumberFormat="1" applyFont="1" applyAlignment="1">
      <alignment/>
    </xf>
    <xf numFmtId="185" fontId="14" fillId="0" borderId="0" xfId="64" applyFont="1" applyAlignment="1">
      <alignment/>
    </xf>
    <xf numFmtId="0" fontId="14" fillId="0" borderId="15" xfId="0" applyFont="1" applyBorder="1" applyAlignment="1">
      <alignment/>
    </xf>
    <xf numFmtId="4" fontId="127" fillId="0" borderId="15" xfId="0" applyNumberFormat="1" applyFont="1" applyBorder="1" applyAlignment="1">
      <alignment wrapText="1"/>
    </xf>
    <xf numFmtId="223" fontId="14" fillId="0" borderId="0" xfId="52" applyNumberFormat="1" applyFont="1" applyAlignment="1">
      <alignment/>
    </xf>
    <xf numFmtId="185" fontId="68" fillId="0" borderId="15" xfId="64" applyFont="1" applyBorder="1" applyAlignment="1">
      <alignment/>
    </xf>
    <xf numFmtId="4" fontId="64" fillId="0" borderId="15" xfId="0" applyNumberFormat="1" applyFont="1" applyBorder="1" applyAlignment="1">
      <alignment wrapText="1"/>
    </xf>
    <xf numFmtId="197" fontId="129" fillId="0" borderId="15" xfId="46" applyFont="1" applyBorder="1" applyAlignment="1">
      <alignment horizontal="right"/>
    </xf>
    <xf numFmtId="0" fontId="128" fillId="0" borderId="15" xfId="0" applyFont="1" applyBorder="1" applyAlignment="1">
      <alignment horizontal="right"/>
    </xf>
    <xf numFmtId="0" fontId="128" fillId="0" borderId="70" xfId="0" applyFont="1" applyBorder="1" applyAlignment="1">
      <alignment/>
    </xf>
    <xf numFmtId="0" fontId="128" fillId="0" borderId="26" xfId="0" applyFont="1" applyBorder="1" applyAlignment="1">
      <alignment/>
    </xf>
    <xf numFmtId="0" fontId="128" fillId="0" borderId="38" xfId="0" applyFont="1" applyBorder="1" applyAlignment="1">
      <alignment/>
    </xf>
    <xf numFmtId="185" fontId="127" fillId="0" borderId="15" xfId="64" applyFont="1" applyBorder="1" applyAlignment="1">
      <alignment horizontal="right"/>
    </xf>
    <xf numFmtId="185" fontId="128" fillId="0" borderId="15" xfId="64" applyFont="1" applyBorder="1" applyAlignment="1">
      <alignment horizontal="right"/>
    </xf>
    <xf numFmtId="197" fontId="128" fillId="0" borderId="15" xfId="0" applyNumberFormat="1" applyFont="1" applyBorder="1" applyAlignment="1">
      <alignment horizontal="right"/>
    </xf>
    <xf numFmtId="197" fontId="127" fillId="0" borderId="15" xfId="0" applyNumberFormat="1" applyFont="1" applyBorder="1" applyAlignment="1">
      <alignment horizontal="right"/>
    </xf>
    <xf numFmtId="0" fontId="127" fillId="0" borderId="15" xfId="0" applyFont="1" applyBorder="1" applyAlignment="1">
      <alignment/>
    </xf>
    <xf numFmtId="0" fontId="127" fillId="0" borderId="15" xfId="0" applyFont="1" applyBorder="1" applyAlignment="1">
      <alignment horizontal="center"/>
    </xf>
    <xf numFmtId="0" fontId="39" fillId="0" borderId="15" xfId="0" applyFont="1" applyBorder="1" applyAlignment="1">
      <alignment/>
    </xf>
    <xf numFmtId="0" fontId="127" fillId="0" borderId="26" xfId="0" applyFont="1" applyBorder="1" applyAlignment="1">
      <alignment horizontal="left"/>
    </xf>
    <xf numFmtId="185" fontId="127" fillId="0" borderId="15" xfId="64" applyFont="1" applyBorder="1" applyAlignment="1">
      <alignment horizontal="center"/>
    </xf>
    <xf numFmtId="185" fontId="39" fillId="0" borderId="15" xfId="64" applyFont="1" applyBorder="1" applyAlignment="1">
      <alignment/>
    </xf>
    <xf numFmtId="4" fontId="128" fillId="0" borderId="15" xfId="0" applyNumberFormat="1" applyFont="1" applyBorder="1" applyAlignment="1">
      <alignment horizontal="right"/>
    </xf>
    <xf numFmtId="0" fontId="0" fillId="0" borderId="70" xfId="0" applyBorder="1" applyAlignment="1">
      <alignment/>
    </xf>
    <xf numFmtId="0" fontId="0" fillId="0" borderId="26" xfId="0" applyBorder="1" applyAlignment="1">
      <alignment/>
    </xf>
    <xf numFmtId="0" fontId="0" fillId="0" borderId="38" xfId="0" applyFont="1" applyBorder="1" applyAlignment="1">
      <alignment horizontal="center"/>
    </xf>
    <xf numFmtId="43" fontId="51" fillId="0" borderId="15" xfId="0" applyNumberFormat="1" applyFont="1" applyBorder="1" applyAlignment="1">
      <alignment/>
    </xf>
    <xf numFmtId="3" fontId="15" fillId="0" borderId="70" xfId="0" applyNumberFormat="1" applyFont="1" applyBorder="1" applyAlignment="1">
      <alignment/>
    </xf>
    <xf numFmtId="3" fontId="5" fillId="0" borderId="26" xfId="0" applyNumberFormat="1" applyFont="1" applyBorder="1" applyAlignment="1">
      <alignment horizontal="center"/>
    </xf>
    <xf numFmtId="0" fontId="15" fillId="0" borderId="38" xfId="0" applyFont="1" applyBorder="1" applyAlignment="1">
      <alignment/>
    </xf>
    <xf numFmtId="0" fontId="5" fillId="0" borderId="70" xfId="0" applyFont="1" applyBorder="1" applyAlignment="1">
      <alignment/>
    </xf>
    <xf numFmtId="3" fontId="15" fillId="0" borderId="26" xfId="0" applyNumberFormat="1" applyFont="1" applyBorder="1" applyAlignment="1">
      <alignment horizontal="center"/>
    </xf>
    <xf numFmtId="0" fontId="0" fillId="0" borderId="15" xfId="0" applyFont="1" applyBorder="1" applyAlignment="1">
      <alignment horizontal="center"/>
    </xf>
    <xf numFmtId="0" fontId="14" fillId="0" borderId="15" xfId="0" applyFont="1" applyBorder="1" applyAlignment="1">
      <alignment horizontal="center"/>
    </xf>
    <xf numFmtId="185" fontId="12" fillId="0" borderId="15" xfId="64" applyFont="1" applyBorder="1" applyAlignment="1">
      <alignment horizontal="center"/>
    </xf>
    <xf numFmtId="185" fontId="64" fillId="0" borderId="15" xfId="64" applyFont="1" applyBorder="1" applyAlignment="1">
      <alignment horizontal="center"/>
    </xf>
    <xf numFmtId="3" fontId="12" fillId="0" borderId="15" xfId="0" applyNumberFormat="1" applyFont="1" applyBorder="1" applyAlignment="1">
      <alignment horizontal="center"/>
    </xf>
    <xf numFmtId="0" fontId="12" fillId="0" borderId="15" xfId="0" applyFont="1" applyBorder="1" applyAlignment="1">
      <alignment horizontal="center"/>
    </xf>
    <xf numFmtId="185" fontId="12" fillId="0" borderId="15" xfId="64" applyFont="1" applyBorder="1" applyAlignment="1">
      <alignment/>
    </xf>
    <xf numFmtId="43" fontId="12" fillId="0" borderId="15" xfId="64" applyNumberFormat="1" applyFont="1" applyBorder="1" applyAlignment="1">
      <alignment/>
    </xf>
    <xf numFmtId="0" fontId="20" fillId="0" borderId="15" xfId="0" applyFont="1" applyBorder="1" applyAlignment="1">
      <alignment/>
    </xf>
    <xf numFmtId="185" fontId="0" fillId="0" borderId="15" xfId="64" applyFont="1" applyBorder="1" applyAlignment="1">
      <alignment/>
    </xf>
    <xf numFmtId="0" fontId="125" fillId="0" borderId="15" xfId="0" applyFont="1" applyBorder="1" applyAlignment="1">
      <alignment/>
    </xf>
    <xf numFmtId="185" fontId="124" fillId="0" borderId="15" xfId="64" applyFont="1" applyBorder="1" applyAlignment="1">
      <alignment/>
    </xf>
    <xf numFmtId="0" fontId="130" fillId="0" borderId="15" xfId="0" applyFont="1" applyBorder="1" applyAlignment="1">
      <alignment/>
    </xf>
    <xf numFmtId="4" fontId="127" fillId="0" borderId="15" xfId="0" applyNumberFormat="1" applyFont="1" applyBorder="1" applyAlignment="1">
      <alignment horizontal="right"/>
    </xf>
    <xf numFmtId="4" fontId="127" fillId="0" borderId="15" xfId="0" applyNumberFormat="1" applyFont="1" applyBorder="1" applyAlignment="1">
      <alignment horizontal="right" vertical="top" wrapText="1"/>
    </xf>
    <xf numFmtId="4" fontId="127" fillId="0" borderId="15" xfId="0" applyNumberFormat="1" applyFont="1" applyBorder="1" applyAlignment="1">
      <alignment horizontal="right" wrapText="1"/>
    </xf>
    <xf numFmtId="0" fontId="128" fillId="0" borderId="15" xfId="0" applyFont="1" applyBorder="1" applyAlignment="1">
      <alignment/>
    </xf>
    <xf numFmtId="4" fontId="131" fillId="0" borderId="15" xfId="0" applyNumberFormat="1" applyFont="1" applyBorder="1" applyAlignment="1">
      <alignment horizontal="right"/>
    </xf>
    <xf numFmtId="0" fontId="0" fillId="0" borderId="15" xfId="0" applyBorder="1" applyAlignment="1">
      <alignment vertical="top"/>
    </xf>
    <xf numFmtId="10" fontId="127" fillId="0" borderId="15" xfId="0" applyNumberFormat="1" applyFont="1" applyBorder="1" applyAlignment="1">
      <alignment horizontal="right"/>
    </xf>
    <xf numFmtId="10" fontId="127" fillId="0" borderId="15" xfId="0" applyNumberFormat="1" applyFont="1" applyBorder="1" applyAlignment="1">
      <alignment/>
    </xf>
    <xf numFmtId="0" fontId="127" fillId="0" borderId="0" xfId="0" applyFont="1" applyAlignment="1">
      <alignment/>
    </xf>
    <xf numFmtId="3" fontId="132" fillId="0" borderId="26" xfId="0" applyNumberFormat="1" applyFont="1" applyBorder="1" applyAlignment="1">
      <alignment horizontal="center"/>
    </xf>
    <xf numFmtId="43" fontId="132" fillId="0" borderId="26" xfId="64" applyNumberFormat="1" applyFont="1" applyBorder="1" applyAlignment="1">
      <alignment/>
    </xf>
    <xf numFmtId="0" fontId="133" fillId="0" borderId="0" xfId="0" applyFont="1" applyAlignment="1">
      <alignment/>
    </xf>
    <xf numFmtId="0" fontId="134" fillId="0" borderId="0" xfId="0" applyFont="1" applyAlignment="1">
      <alignment/>
    </xf>
    <xf numFmtId="0" fontId="133" fillId="0" borderId="0" xfId="0" applyFont="1" applyAlignment="1">
      <alignment horizontal="center"/>
    </xf>
    <xf numFmtId="0" fontId="128" fillId="0" borderId="70" xfId="0" applyFont="1" applyBorder="1" applyAlignment="1">
      <alignment horizontal="justify" vertical="top" wrapText="1"/>
    </xf>
    <xf numFmtId="0" fontId="128" fillId="0" borderId="15" xfId="0" applyFont="1" applyBorder="1" applyAlignment="1">
      <alignment horizontal="center" vertical="top" wrapText="1"/>
    </xf>
    <xf numFmtId="3" fontId="128" fillId="0" borderId="15" xfId="0" applyNumberFormat="1" applyFont="1" applyBorder="1" applyAlignment="1">
      <alignment horizontal="center" vertical="top" wrapText="1"/>
    </xf>
    <xf numFmtId="0" fontId="127" fillId="0" borderId="15" xfId="0" applyFont="1" applyBorder="1" applyAlignment="1">
      <alignment horizontal="center" vertical="top" wrapText="1"/>
    </xf>
    <xf numFmtId="3" fontId="133" fillId="0" borderId="15" xfId="0" applyNumberFormat="1" applyFont="1" applyBorder="1" applyAlignment="1">
      <alignment horizontal="center"/>
    </xf>
    <xf numFmtId="0" fontId="127" fillId="0" borderId="70" xfId="0" applyFont="1" applyBorder="1" applyAlignment="1">
      <alignment horizontal="justify" vertical="top" wrapText="1"/>
    </xf>
    <xf numFmtId="0" fontId="127" fillId="0" borderId="15" xfId="0" applyFont="1" applyBorder="1" applyAlignment="1">
      <alignment horizontal="justify" vertical="top" wrapText="1"/>
    </xf>
    <xf numFmtId="43" fontId="127" fillId="0" borderId="15" xfId="64" applyNumberFormat="1" applyFont="1" applyBorder="1" applyAlignment="1">
      <alignment horizontal="right" wrapText="1"/>
    </xf>
    <xf numFmtId="43" fontId="135" fillId="0" borderId="15" xfId="64" applyNumberFormat="1" applyFont="1" applyBorder="1" applyAlignment="1">
      <alignment horizontal="right" vertical="top" wrapText="1"/>
    </xf>
    <xf numFmtId="4" fontId="51" fillId="0" borderId="15" xfId="0" applyNumberFormat="1" applyFont="1" applyBorder="1" applyAlignment="1">
      <alignment/>
    </xf>
    <xf numFmtId="43" fontId="133" fillId="0" borderId="15" xfId="64" applyNumberFormat="1" applyFont="1" applyBorder="1" applyAlignment="1">
      <alignment/>
    </xf>
    <xf numFmtId="43" fontId="136" fillId="0" borderId="15" xfId="64" applyNumberFormat="1" applyFont="1" applyBorder="1" applyAlignment="1">
      <alignment/>
    </xf>
    <xf numFmtId="43" fontId="133" fillId="0" borderId="15" xfId="64" applyNumberFormat="1" applyFont="1" applyBorder="1" applyAlignment="1">
      <alignment horizontal="center"/>
    </xf>
    <xf numFmtId="43" fontId="133" fillId="0" borderId="15" xfId="64" applyNumberFormat="1" applyFont="1" applyBorder="1" applyAlignment="1">
      <alignment wrapText="1"/>
    </xf>
    <xf numFmtId="0" fontId="135" fillId="0" borderId="70" xfId="0" applyFont="1" applyBorder="1" applyAlignment="1">
      <alignment horizontal="justify" vertical="top" wrapText="1"/>
    </xf>
    <xf numFmtId="0" fontId="137" fillId="0" borderId="15" xfId="0" applyFont="1" applyBorder="1" applyAlignment="1">
      <alignment vertical="top" wrapText="1"/>
    </xf>
    <xf numFmtId="0" fontId="128" fillId="0" borderId="70" xfId="0" applyFont="1" applyBorder="1" applyAlignment="1">
      <alignment vertical="top" wrapText="1"/>
    </xf>
    <xf numFmtId="0" fontId="128" fillId="0" borderId="15" xfId="0" applyFont="1" applyBorder="1" applyAlignment="1">
      <alignment vertical="top" wrapText="1"/>
    </xf>
    <xf numFmtId="43" fontId="128" fillId="0" borderId="15" xfId="64" applyNumberFormat="1" applyFont="1" applyBorder="1" applyAlignment="1">
      <alignment horizontal="right" vertical="top" wrapText="1"/>
    </xf>
    <xf numFmtId="43" fontId="129" fillId="0" borderId="15" xfId="64" applyNumberFormat="1" applyFont="1" applyBorder="1" applyAlignment="1">
      <alignment horizontal="right" vertical="top" wrapText="1"/>
    </xf>
    <xf numFmtId="43" fontId="133" fillId="0" borderId="0" xfId="0" applyNumberFormat="1" applyFont="1" applyAlignment="1">
      <alignment/>
    </xf>
    <xf numFmtId="0" fontId="133" fillId="0" borderId="71" xfId="0" applyFont="1" applyBorder="1" applyAlignment="1">
      <alignment horizontal="right"/>
    </xf>
    <xf numFmtId="0" fontId="133" fillId="0" borderId="16" xfId="0" applyFont="1" applyBorder="1" applyAlignment="1">
      <alignment/>
    </xf>
    <xf numFmtId="0" fontId="133" fillId="0" borderId="45" xfId="0" applyFont="1" applyBorder="1" applyAlignment="1">
      <alignment/>
    </xf>
    <xf numFmtId="0" fontId="133" fillId="0" borderId="72" xfId="0" applyFont="1" applyBorder="1" applyAlignment="1">
      <alignment horizontal="right"/>
    </xf>
    <xf numFmtId="43" fontId="133" fillId="0" borderId="0" xfId="64" applyNumberFormat="1" applyFont="1" applyBorder="1" applyAlignment="1">
      <alignment/>
    </xf>
    <xf numFmtId="0" fontId="133" fillId="0" borderId="17" xfId="0" applyFont="1" applyBorder="1" applyAlignment="1">
      <alignment/>
    </xf>
    <xf numFmtId="43" fontId="133" fillId="0" borderId="17" xfId="0" applyNumberFormat="1" applyFont="1" applyBorder="1" applyAlignment="1">
      <alignment/>
    </xf>
    <xf numFmtId="0" fontId="133" fillId="0" borderId="73" xfId="0" applyFont="1" applyBorder="1" applyAlignment="1">
      <alignment horizontal="right"/>
    </xf>
    <xf numFmtId="0" fontId="133" fillId="0" borderId="27" xfId="0" applyFont="1" applyBorder="1" applyAlignment="1">
      <alignment/>
    </xf>
    <xf numFmtId="0" fontId="133" fillId="0" borderId="25" xfId="0" applyFont="1" applyBorder="1" applyAlignment="1">
      <alignment/>
    </xf>
    <xf numFmtId="0" fontId="0" fillId="0" borderId="26" xfId="0" applyBorder="1" applyAlignment="1">
      <alignment horizontal="center"/>
    </xf>
    <xf numFmtId="0" fontId="34" fillId="38" borderId="0" xfId="0" applyFont="1" applyFill="1" applyAlignment="1">
      <alignment horizontal="center" wrapText="1"/>
    </xf>
    <xf numFmtId="49" fontId="0" fillId="36" borderId="0" xfId="0" applyNumberFormat="1" applyFont="1" applyFill="1" applyAlignment="1">
      <alignment vertical="center"/>
    </xf>
    <xf numFmtId="0" fontId="5" fillId="0" borderId="27" xfId="0" applyFont="1" applyBorder="1" applyAlignment="1">
      <alignment horizontal="center" wrapText="1"/>
    </xf>
    <xf numFmtId="0" fontId="34" fillId="0" borderId="0" xfId="0" applyFont="1" applyAlignment="1">
      <alignment horizontal="center" wrapText="1"/>
    </xf>
    <xf numFmtId="185" fontId="5" fillId="0" borderId="15" xfId="64" applyFont="1" applyFill="1" applyBorder="1" applyAlignment="1">
      <alignment horizontal="center" wrapText="1"/>
    </xf>
    <xf numFmtId="0" fontId="34" fillId="0" borderId="0" xfId="0" applyFont="1" applyAlignment="1">
      <alignment horizontal="left" wrapText="1"/>
    </xf>
    <xf numFmtId="185" fontId="5" fillId="0" borderId="30" xfId="64" applyFont="1" applyFill="1" applyBorder="1" applyAlignment="1">
      <alignment horizontal="center" wrapText="1"/>
    </xf>
    <xf numFmtId="0" fontId="71" fillId="0" borderId="0" xfId="0" applyFont="1" applyAlignment="1">
      <alignment horizontal="left" wrapText="1"/>
    </xf>
    <xf numFmtId="185" fontId="0" fillId="0" borderId="30" xfId="64" applyFont="1" applyFill="1" applyBorder="1" applyAlignment="1">
      <alignment horizontal="center" wrapText="1"/>
    </xf>
    <xf numFmtId="0" fontId="34" fillId="0" borderId="0" xfId="0" applyFont="1" applyAlignment="1">
      <alignment horizontal="right" wrapText="1"/>
    </xf>
    <xf numFmtId="1" fontId="32" fillId="0" borderId="25" xfId="64" applyNumberFormat="1" applyFont="1" applyFill="1" applyBorder="1" applyAlignment="1" applyProtection="1">
      <alignment horizontal="center" vertical="center" wrapText="1"/>
      <protection/>
    </xf>
    <xf numFmtId="0" fontId="33" fillId="0" borderId="0" xfId="64" applyNumberFormat="1" applyFont="1" applyFill="1" applyBorder="1" applyAlignment="1" applyProtection="1">
      <alignment horizontal="left" vertical="center"/>
      <protection/>
    </xf>
    <xf numFmtId="171" fontId="33" fillId="0" borderId="15" xfId="64" applyNumberFormat="1" applyFont="1" applyFill="1" applyBorder="1" applyAlignment="1" applyProtection="1">
      <alignment horizontal="left" vertical="center" indent="2"/>
      <protection/>
    </xf>
    <xf numFmtId="185" fontId="33" fillId="0" borderId="15" xfId="64" applyFont="1" applyFill="1" applyBorder="1" applyAlignment="1" applyProtection="1">
      <alignment horizontal="left" vertical="center" indent="2"/>
      <protection/>
    </xf>
    <xf numFmtId="0" fontId="33" fillId="0" borderId="0" xfId="64" applyNumberFormat="1" applyFont="1" applyFill="1" applyAlignment="1" applyProtection="1">
      <alignment horizontal="left" vertical="center"/>
      <protection/>
    </xf>
    <xf numFmtId="43" fontId="0" fillId="0" borderId="0" xfId="0" applyNumberFormat="1" applyAlignment="1">
      <alignment/>
    </xf>
    <xf numFmtId="49" fontId="0" fillId="0" borderId="0" xfId="0" applyNumberFormat="1" applyFont="1" applyAlignment="1">
      <alignment vertical="center"/>
    </xf>
    <xf numFmtId="216" fontId="0" fillId="0" borderId="0" xfId="64" applyNumberFormat="1" applyFont="1" applyFill="1" applyAlignment="1" applyProtection="1">
      <alignment vertical="center"/>
      <protection/>
    </xf>
    <xf numFmtId="0" fontId="33" fillId="0" borderId="28" xfId="64" applyNumberFormat="1" applyFont="1" applyFill="1" applyBorder="1" applyAlignment="1" applyProtection="1">
      <alignment horizontal="left" vertical="center"/>
      <protection/>
    </xf>
    <xf numFmtId="0" fontId="33" fillId="0" borderId="29" xfId="64" applyNumberFormat="1" applyFont="1" applyFill="1" applyBorder="1" applyAlignment="1" applyProtection="1">
      <alignment horizontal="left" vertical="center"/>
      <protection/>
    </xf>
    <xf numFmtId="0" fontId="33" fillId="0" borderId="30" xfId="64" applyNumberFormat="1" applyFont="1" applyFill="1" applyBorder="1" applyAlignment="1" applyProtection="1">
      <alignment horizontal="left" vertical="center"/>
      <protection/>
    </xf>
    <xf numFmtId="38" fontId="19" fillId="0" borderId="31" xfId="0" applyNumberFormat="1" applyFont="1" applyBorder="1" applyAlignment="1">
      <alignment horizontal="center"/>
    </xf>
    <xf numFmtId="0" fontId="19" fillId="0" borderId="32" xfId="0" applyFont="1" applyBorder="1" applyAlignment="1">
      <alignment horizontal="center"/>
    </xf>
    <xf numFmtId="0" fontId="19" fillId="0" borderId="33" xfId="0" applyFont="1" applyBorder="1" applyAlignment="1">
      <alignment horizontal="center"/>
    </xf>
    <xf numFmtId="0" fontId="19" fillId="0" borderId="31" xfId="0" applyFont="1" applyBorder="1" applyAlignment="1">
      <alignment horizontal="center"/>
    </xf>
    <xf numFmtId="0" fontId="20" fillId="0" borderId="74" xfId="0" applyFont="1" applyBorder="1" applyAlignment="1">
      <alignment horizontal="center"/>
    </xf>
    <xf numFmtId="0" fontId="20" fillId="0" borderId="75" xfId="0" applyFont="1" applyBorder="1" applyAlignment="1">
      <alignment horizontal="center"/>
    </xf>
    <xf numFmtId="0" fontId="20" fillId="0" borderId="32" xfId="0" applyFont="1" applyBorder="1" applyAlignment="1">
      <alignment horizontal="center"/>
    </xf>
    <xf numFmtId="0" fontId="20" fillId="0" borderId="33" xfId="0" applyFont="1" applyBorder="1" applyAlignment="1">
      <alignment horizontal="center"/>
    </xf>
    <xf numFmtId="38" fontId="1" fillId="0" borderId="0" xfId="0" applyNumberFormat="1" applyFont="1" applyBorder="1" applyAlignment="1" applyProtection="1">
      <alignment horizontal="center"/>
      <protection locked="0"/>
    </xf>
    <xf numFmtId="0" fontId="2" fillId="0" borderId="0" xfId="0" applyFont="1" applyAlignment="1">
      <alignment horizontal="center"/>
    </xf>
    <xf numFmtId="38" fontId="10" fillId="0" borderId="0" xfId="0" applyNumberFormat="1"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Alignment="1">
      <alignment horizontal="center"/>
    </xf>
    <xf numFmtId="0" fontId="1" fillId="0" borderId="0" xfId="0" applyFont="1" applyFill="1" applyAlignment="1">
      <alignment horizontal="center"/>
    </xf>
    <xf numFmtId="38" fontId="1" fillId="0" borderId="0" xfId="0" applyNumberFormat="1" applyFont="1" applyFill="1" applyAlignment="1">
      <alignment horizontal="center"/>
    </xf>
    <xf numFmtId="0" fontId="1" fillId="36" borderId="15" xfId="0" applyFont="1" applyFill="1" applyBorder="1" applyAlignment="1">
      <alignment horizontal="center"/>
    </xf>
    <xf numFmtId="0" fontId="0" fillId="0" borderId="15" xfId="0" applyBorder="1" applyAlignment="1">
      <alignment horizontal="center"/>
    </xf>
    <xf numFmtId="0" fontId="5" fillId="36" borderId="15"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5" fillId="36" borderId="15" xfId="0" applyNumberFormat="1" applyFont="1" applyFill="1" applyBorder="1" applyAlignment="1" applyProtection="1">
      <alignment horizontal="center" vertical="center" wrapText="1"/>
      <protection locked="0"/>
    </xf>
    <xf numFmtId="0" fontId="2" fillId="36" borderId="15" xfId="0" applyFont="1" applyFill="1" applyBorder="1" applyAlignment="1">
      <alignment horizontal="center"/>
    </xf>
    <xf numFmtId="0" fontId="10" fillId="36" borderId="71" xfId="0" applyNumberFormat="1" applyFont="1" applyFill="1" applyBorder="1" applyAlignment="1" applyProtection="1">
      <alignment horizontal="center" vertical="center"/>
      <protection locked="0"/>
    </xf>
    <xf numFmtId="0" fontId="0" fillId="0" borderId="45" xfId="0" applyBorder="1" applyAlignment="1">
      <alignment horizontal="center" vertical="center"/>
    </xf>
    <xf numFmtId="0" fontId="0" fillId="0" borderId="73" xfId="0" applyBorder="1" applyAlignment="1">
      <alignment horizontal="center" vertical="center"/>
    </xf>
    <xf numFmtId="0" fontId="0" fillId="0" borderId="25" xfId="0" applyBorder="1" applyAlignment="1">
      <alignment horizontal="center" vertical="center"/>
    </xf>
    <xf numFmtId="198" fontId="1" fillId="36" borderId="28" xfId="0" applyNumberFormat="1" applyFont="1" applyFill="1" applyBorder="1" applyAlignment="1">
      <alignment horizontal="center" vertical="center"/>
    </xf>
    <xf numFmtId="0" fontId="0" fillId="0" borderId="30" xfId="0" applyBorder="1" applyAlignment="1">
      <alignment horizontal="center" vertical="center"/>
    </xf>
    <xf numFmtId="38" fontId="32" fillId="37" borderId="0" xfId="0" applyNumberFormat="1" applyFont="1" applyFill="1" applyAlignment="1" applyProtection="1">
      <alignment horizontal="center" vertical="center" wrapText="1"/>
      <protection/>
    </xf>
    <xf numFmtId="0" fontId="0" fillId="38" borderId="0" xfId="0" applyFill="1" applyAlignment="1">
      <alignment horizontal="center" vertical="center" wrapText="1"/>
    </xf>
    <xf numFmtId="38" fontId="32" fillId="38" borderId="0" xfId="0" applyNumberFormat="1" applyFont="1" applyFill="1" applyAlignment="1" applyProtection="1">
      <alignment horizontal="center" vertical="center" wrapText="1"/>
      <protection/>
    </xf>
    <xf numFmtId="0" fontId="32" fillId="37" borderId="0" xfId="0" applyFont="1" applyFill="1" applyAlignment="1" applyProtection="1">
      <alignment horizontal="center" vertical="center" wrapText="1"/>
      <protection/>
    </xf>
    <xf numFmtId="0" fontId="32" fillId="37" borderId="0" xfId="0" applyFont="1" applyFill="1" applyAlignment="1" applyProtection="1">
      <alignment horizontal="center" vertical="center" wrapText="1"/>
      <protection/>
    </xf>
    <xf numFmtId="0" fontId="32" fillId="37" borderId="27" xfId="0" applyFont="1" applyFill="1" applyBorder="1" applyAlignment="1" applyProtection="1">
      <alignment horizontal="center" vertical="center"/>
      <protection/>
    </xf>
    <xf numFmtId="0" fontId="5" fillId="38" borderId="27" xfId="0" applyFont="1" applyFill="1" applyBorder="1" applyAlignment="1">
      <alignment vertical="center"/>
    </xf>
    <xf numFmtId="49" fontId="32" fillId="0" borderId="16" xfId="0" applyNumberFormat="1" applyFont="1" applyBorder="1" applyAlignment="1">
      <alignment horizontal="center" vertical="center" wrapText="1"/>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38" fontId="32" fillId="0" borderId="0" xfId="0" applyNumberFormat="1" applyFont="1" applyAlignment="1">
      <alignment horizontal="center" vertical="center"/>
    </xf>
    <xf numFmtId="0" fontId="0" fillId="0" borderId="0" xfId="0" applyAlignment="1">
      <alignment horizontal="center" vertical="center"/>
    </xf>
    <xf numFmtId="49" fontId="32" fillId="0" borderId="0" xfId="0" applyNumberFormat="1" applyFont="1" applyAlignment="1">
      <alignment horizontal="center" vertical="center" wrapText="1"/>
    </xf>
    <xf numFmtId="0" fontId="34" fillId="0" borderId="27" xfId="0" applyFont="1" applyBorder="1" applyAlignment="1">
      <alignment horizontal="center" wrapText="1"/>
    </xf>
    <xf numFmtId="0" fontId="5" fillId="0" borderId="27" xfId="0" applyFont="1" applyBorder="1" applyAlignment="1">
      <alignment horizontal="center" wrapText="1"/>
    </xf>
    <xf numFmtId="0" fontId="32" fillId="0" borderId="26" xfId="64" applyNumberFormat="1" applyFont="1" applyFill="1" applyBorder="1" applyAlignment="1" applyProtection="1">
      <alignment horizontal="center" vertical="center"/>
      <protection/>
    </xf>
    <xf numFmtId="49" fontId="32" fillId="36" borderId="16" xfId="0" applyNumberFormat="1" applyFont="1" applyFill="1" applyBorder="1" applyAlignment="1">
      <alignment horizontal="center" vertical="center" wrapText="1"/>
    </xf>
    <xf numFmtId="0" fontId="32" fillId="36" borderId="25" xfId="0" applyFont="1" applyFill="1" applyBorder="1" applyAlignment="1">
      <alignment horizontal="center" vertical="center" wrapText="1"/>
    </xf>
    <xf numFmtId="0" fontId="32" fillId="36" borderId="26" xfId="0" applyFont="1" applyFill="1" applyBorder="1" applyAlignment="1">
      <alignment horizontal="center" vertical="center" wrapText="1"/>
    </xf>
    <xf numFmtId="38" fontId="32" fillId="36" borderId="0" xfId="0" applyNumberFormat="1" applyFont="1" applyFill="1" applyAlignment="1">
      <alignment horizontal="center" vertical="center"/>
    </xf>
    <xf numFmtId="49" fontId="32" fillId="36" borderId="0" xfId="0" applyNumberFormat="1" applyFont="1" applyFill="1" applyAlignment="1">
      <alignment horizontal="center" vertical="center" wrapText="1"/>
    </xf>
    <xf numFmtId="0" fontId="34" fillId="38" borderId="27" xfId="0" applyFont="1" applyFill="1" applyBorder="1" applyAlignment="1">
      <alignment horizontal="center" wrapText="1"/>
    </xf>
    <xf numFmtId="0" fontId="5" fillId="38" borderId="27" xfId="0" applyFont="1" applyFill="1" applyBorder="1" applyAlignment="1">
      <alignment horizontal="center" wrapText="1"/>
    </xf>
    <xf numFmtId="0" fontId="32" fillId="36" borderId="26" xfId="64" applyNumberFormat="1" applyFont="1" applyFill="1" applyBorder="1" applyAlignment="1" applyProtection="1">
      <alignment horizontal="center" vertical="center"/>
      <protection/>
    </xf>
    <xf numFmtId="0" fontId="15" fillId="0" borderId="70" xfId="0" applyFont="1" applyBorder="1" applyAlignment="1">
      <alignment wrapText="1"/>
    </xf>
    <xf numFmtId="0" fontId="0" fillId="0" borderId="26" xfId="0" applyBorder="1" applyAlignment="1">
      <alignment wrapText="1"/>
    </xf>
    <xf numFmtId="0" fontId="0" fillId="0" borderId="38" xfId="0" applyBorder="1" applyAlignment="1">
      <alignment wrapText="1"/>
    </xf>
    <xf numFmtId="0" fontId="6" fillId="36" borderId="15" xfId="0" applyFont="1" applyFill="1" applyBorder="1" applyAlignment="1">
      <alignment horizontal="center" vertical="center" wrapText="1"/>
    </xf>
    <xf numFmtId="38" fontId="13" fillId="0" borderId="31" xfId="0" applyNumberFormat="1"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13" fillId="0" borderId="31" xfId="0" applyFont="1" applyBorder="1" applyAlignment="1">
      <alignment horizontal="center"/>
    </xf>
    <xf numFmtId="0" fontId="6" fillId="36" borderId="70" xfId="0" applyFont="1" applyFill="1"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38" fontId="38" fillId="0" borderId="31" xfId="0" applyNumberFormat="1" applyFont="1" applyBorder="1" applyAlignment="1">
      <alignment horizontal="center"/>
    </xf>
    <xf numFmtId="38" fontId="38" fillId="0" borderId="32" xfId="0" applyNumberFormat="1" applyFont="1" applyBorder="1" applyAlignment="1">
      <alignment horizontal="center"/>
    </xf>
    <xf numFmtId="0" fontId="38" fillId="36" borderId="15" xfId="0" applyFont="1" applyFill="1" applyBorder="1" applyAlignment="1">
      <alignment horizontal="center" vertical="center" wrapText="1"/>
    </xf>
    <xf numFmtId="0" fontId="38" fillId="0" borderId="31" xfId="0" applyFont="1" applyBorder="1" applyAlignment="1">
      <alignment horizontal="center"/>
    </xf>
    <xf numFmtId="0" fontId="38" fillId="0" borderId="32" xfId="0" applyFont="1" applyBorder="1" applyAlignment="1">
      <alignment horizontal="center"/>
    </xf>
    <xf numFmtId="0" fontId="5" fillId="46" borderId="70" xfId="49" applyFont="1" applyFill="1" applyBorder="1" applyAlignment="1">
      <alignment horizontal="center" vertical="center" wrapText="1"/>
      <protection/>
    </xf>
    <xf numFmtId="0" fontId="5" fillId="46" borderId="26" xfId="49" applyFont="1" applyFill="1" applyBorder="1" applyAlignment="1">
      <alignment horizontal="center" vertical="center" wrapText="1"/>
      <protection/>
    </xf>
    <xf numFmtId="0" fontId="5" fillId="46" borderId="38" xfId="49" applyFont="1" applyFill="1" applyBorder="1" applyAlignment="1">
      <alignment horizontal="center" vertical="center" wrapText="1"/>
      <protection/>
    </xf>
    <xf numFmtId="211" fontId="20" fillId="0" borderId="28" xfId="0" applyNumberFormat="1" applyFont="1" applyFill="1" applyBorder="1" applyAlignment="1">
      <alignment horizontal="center" textRotation="90" wrapText="1"/>
    </xf>
    <xf numFmtId="211" fontId="20" fillId="0" borderId="29" xfId="0" applyNumberFormat="1" applyFont="1" applyFill="1" applyBorder="1" applyAlignment="1">
      <alignment horizontal="center" textRotation="90" wrapText="1"/>
    </xf>
    <xf numFmtId="0" fontId="0" fillId="0" borderId="29" xfId="0" applyBorder="1" applyAlignment="1">
      <alignment horizontal="center" textRotation="90" wrapText="1"/>
    </xf>
    <xf numFmtId="0" fontId="0" fillId="0" borderId="30" xfId="0" applyBorder="1" applyAlignment="1">
      <alignment horizontal="center" textRotation="90" wrapText="1"/>
    </xf>
    <xf numFmtId="38" fontId="0" fillId="0" borderId="31" xfId="49" applyNumberFormat="1" applyFont="1" applyBorder="1" applyAlignment="1">
      <alignment horizontal="center"/>
      <protection/>
    </xf>
    <xf numFmtId="0" fontId="0" fillId="0" borderId="32" xfId="49" applyFont="1" applyBorder="1" applyAlignment="1">
      <alignment horizontal="center"/>
      <protection/>
    </xf>
    <xf numFmtId="0" fontId="0" fillId="0" borderId="33" xfId="49" applyFont="1" applyBorder="1" applyAlignment="1">
      <alignment horizontal="center"/>
      <protection/>
    </xf>
    <xf numFmtId="0" fontId="0" fillId="0" borderId="31" xfId="49" applyFont="1" applyBorder="1" applyAlignment="1">
      <alignment horizontal="center"/>
      <protection/>
    </xf>
    <xf numFmtId="0" fontId="5" fillId="0" borderId="31" xfId="49" applyFont="1" applyBorder="1" applyAlignment="1">
      <alignment horizontal="center"/>
      <protection/>
    </xf>
    <xf numFmtId="0" fontId="5" fillId="0" borderId="32" xfId="49" applyFont="1" applyBorder="1" applyAlignment="1">
      <alignment horizontal="center"/>
      <protection/>
    </xf>
    <xf numFmtId="0" fontId="5" fillId="0" borderId="33" xfId="49" applyFont="1" applyBorder="1" applyAlignment="1">
      <alignment horizontal="center"/>
      <protection/>
    </xf>
    <xf numFmtId="0" fontId="0" fillId="0" borderId="42" xfId="49" applyFont="1" applyBorder="1" applyAlignment="1">
      <alignment horizontal="left" wrapText="1"/>
      <protection/>
    </xf>
    <xf numFmtId="0" fontId="0" fillId="0" borderId="39" xfId="49" applyFont="1" applyBorder="1" applyAlignment="1">
      <alignment horizontal="left" wrapText="1"/>
      <protection/>
    </xf>
    <xf numFmtId="0" fontId="0" fillId="0" borderId="40" xfId="49" applyFont="1" applyBorder="1" applyAlignment="1">
      <alignment horizontal="left" wrapText="1"/>
      <protection/>
    </xf>
    <xf numFmtId="181" fontId="0" fillId="0" borderId="76" xfId="49" applyNumberFormat="1" applyFont="1" applyBorder="1" applyAlignment="1">
      <alignment horizontal="right" wrapText="1"/>
      <protection/>
    </xf>
    <xf numFmtId="181" fontId="0" fillId="0" borderId="0" xfId="49" applyNumberFormat="1" applyFont="1" applyAlignment="1">
      <alignment horizontal="right" wrapText="1"/>
      <protection/>
    </xf>
    <xf numFmtId="0" fontId="5" fillId="46" borderId="45" xfId="49" applyFont="1" applyFill="1" applyBorder="1" applyAlignment="1">
      <alignment horizontal="center" vertical="center" wrapText="1"/>
      <protection/>
    </xf>
    <xf numFmtId="0" fontId="5" fillId="46" borderId="17" xfId="49" applyFont="1" applyFill="1" applyBorder="1" applyAlignment="1">
      <alignment horizontal="center" vertical="center" wrapText="1"/>
      <protection/>
    </xf>
    <xf numFmtId="0" fontId="5" fillId="46" borderId="25" xfId="49" applyFont="1" applyFill="1" applyBorder="1" applyAlignment="1">
      <alignment horizontal="center" vertical="center" wrapText="1"/>
      <protection/>
    </xf>
    <xf numFmtId="0" fontId="16" fillId="0" borderId="31" xfId="0" applyFont="1" applyBorder="1" applyAlignment="1">
      <alignment horizontal="center"/>
    </xf>
    <xf numFmtId="0" fontId="16" fillId="0" borderId="32" xfId="0" applyFont="1" applyBorder="1" applyAlignment="1">
      <alignment horizontal="center"/>
    </xf>
    <xf numFmtId="0" fontId="16" fillId="0" borderId="33" xfId="0" applyFont="1" applyBorder="1" applyAlignment="1">
      <alignment horizontal="center"/>
    </xf>
    <xf numFmtId="38" fontId="16" fillId="0" borderId="31" xfId="0" applyNumberFormat="1"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16" fillId="0" borderId="18" xfId="0" applyFont="1" applyBorder="1" applyAlignment="1">
      <alignment wrapText="1"/>
    </xf>
    <xf numFmtId="181" fontId="16" fillId="0" borderId="18" xfId="0" applyNumberFormat="1" applyFont="1" applyBorder="1" applyAlignment="1">
      <alignment horizontal="right" wrapText="1"/>
    </xf>
    <xf numFmtId="0" fontId="16" fillId="0" borderId="18" xfId="0" applyFont="1" applyBorder="1" applyAlignment="1">
      <alignment horizontal="right" wrapText="1"/>
    </xf>
    <xf numFmtId="0" fontId="35" fillId="0" borderId="16" xfId="0" applyFont="1" applyBorder="1" applyAlignment="1">
      <alignment horizontal="left"/>
    </xf>
    <xf numFmtId="0" fontId="16" fillId="47" borderId="45" xfId="0" applyFont="1" applyFill="1" applyBorder="1" applyAlignment="1">
      <alignment horizontal="center" vertical="center" wrapText="1"/>
    </xf>
    <xf numFmtId="0" fontId="16" fillId="47" borderId="17" xfId="0" applyFont="1" applyFill="1" applyBorder="1" applyAlignment="1">
      <alignment horizontal="center" vertical="center" wrapText="1"/>
    </xf>
    <xf numFmtId="0" fontId="16" fillId="47" borderId="25" xfId="0" applyFont="1" applyFill="1" applyBorder="1" applyAlignment="1">
      <alignment horizontal="center" vertical="center" wrapText="1"/>
    </xf>
    <xf numFmtId="0" fontId="16" fillId="47" borderId="70" xfId="0" applyFont="1" applyFill="1" applyBorder="1" applyAlignment="1">
      <alignment horizontal="center" vertical="center" wrapText="1"/>
    </xf>
    <xf numFmtId="0" fontId="16" fillId="47" borderId="26" xfId="0" applyFont="1" applyFill="1" applyBorder="1" applyAlignment="1">
      <alignment horizontal="center" vertical="center" wrapText="1"/>
    </xf>
    <xf numFmtId="0" fontId="16" fillId="47" borderId="38" xfId="0" applyFont="1" applyFill="1" applyBorder="1" applyAlignment="1">
      <alignment horizontal="center" vertical="center" wrapText="1"/>
    </xf>
    <xf numFmtId="0" fontId="6" fillId="0" borderId="42" xfId="0" applyFont="1" applyFill="1" applyBorder="1" applyAlignment="1">
      <alignment wrapText="1"/>
    </xf>
    <xf numFmtId="0" fontId="5" fillId="0" borderId="39" xfId="0" applyFont="1" applyBorder="1" applyAlignment="1">
      <alignment wrapText="1"/>
    </xf>
    <xf numFmtId="0" fontId="5" fillId="0" borderId="40" xfId="0" applyFont="1" applyBorder="1" applyAlignment="1">
      <alignment wrapText="1"/>
    </xf>
    <xf numFmtId="211" fontId="15" fillId="48" borderId="28" xfId="0" applyNumberFormat="1" applyFont="1" applyFill="1" applyBorder="1" applyAlignment="1">
      <alignment horizontal="center" textRotation="90" wrapText="1"/>
    </xf>
    <xf numFmtId="0" fontId="15" fillId="47" borderId="29" xfId="0" applyFont="1" applyFill="1" applyBorder="1" applyAlignment="1">
      <alignment horizontal="center" textRotation="90" wrapText="1"/>
    </xf>
    <xf numFmtId="0" fontId="15" fillId="47" borderId="30" xfId="0" applyFont="1" applyFill="1" applyBorder="1" applyAlignment="1">
      <alignment horizontal="center" textRotation="90" wrapText="1"/>
    </xf>
    <xf numFmtId="38" fontId="0" fillId="0" borderId="31" xfId="0" applyNumberFormat="1" applyFont="1" applyFill="1" applyBorder="1" applyAlignment="1">
      <alignment horizontal="center"/>
    </xf>
    <xf numFmtId="0" fontId="0" fillId="0" borderId="32" xfId="0" applyFont="1" applyFill="1" applyBorder="1" applyAlignment="1">
      <alignment horizontal="center"/>
    </xf>
    <xf numFmtId="0" fontId="0" fillId="0" borderId="33" xfId="0" applyFont="1" applyFill="1" applyBorder="1" applyAlignment="1">
      <alignment horizontal="center"/>
    </xf>
    <xf numFmtId="0" fontId="0" fillId="0" borderId="31"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38" fillId="0" borderId="70" xfId="0" applyFont="1" applyFill="1" applyBorder="1" applyAlignment="1">
      <alignment horizontal="left"/>
    </xf>
    <xf numFmtId="0" fontId="0" fillId="0" borderId="26" xfId="0" applyBorder="1" applyAlignment="1">
      <alignment horizontal="left"/>
    </xf>
    <xf numFmtId="0" fontId="0" fillId="0" borderId="38" xfId="0" applyBorder="1" applyAlignment="1">
      <alignment horizontal="left"/>
    </xf>
    <xf numFmtId="211" fontId="0" fillId="0" borderId="28" xfId="0" applyNumberFormat="1" applyFont="1" applyFill="1" applyBorder="1" applyAlignment="1">
      <alignment textRotation="90" wrapText="1"/>
    </xf>
    <xf numFmtId="211" fontId="0" fillId="0" borderId="29" xfId="0" applyNumberFormat="1" applyFont="1" applyFill="1" applyBorder="1" applyAlignment="1">
      <alignment textRotation="90" wrapText="1"/>
    </xf>
    <xf numFmtId="211" fontId="0" fillId="0" borderId="30" xfId="0" applyNumberFormat="1" applyFont="1" applyFill="1" applyBorder="1" applyAlignment="1">
      <alignment textRotation="90" wrapText="1"/>
    </xf>
    <xf numFmtId="0" fontId="5" fillId="0" borderId="16" xfId="0" applyFont="1" applyFill="1" applyBorder="1" applyAlignment="1">
      <alignment horizontal="left"/>
    </xf>
    <xf numFmtId="181" fontId="0" fillId="0" borderId="18" xfId="0" applyNumberFormat="1" applyFont="1" applyFill="1" applyBorder="1" applyAlignment="1">
      <alignment horizontal="right" wrapText="1"/>
    </xf>
    <xf numFmtId="0" fontId="0" fillId="0" borderId="18" xfId="0" applyFont="1" applyFill="1" applyBorder="1" applyAlignment="1">
      <alignment horizontal="right" wrapText="1"/>
    </xf>
    <xf numFmtId="0" fontId="0" fillId="0" borderId="4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5" fillId="0" borderId="42" xfId="0" applyFont="1" applyFill="1" applyBorder="1" applyAlignment="1">
      <alignment horizontal="justify"/>
    </xf>
    <xf numFmtId="0" fontId="5" fillId="0" borderId="40" xfId="0" applyFont="1" applyFill="1" applyBorder="1" applyAlignment="1">
      <alignment/>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15" fillId="0" borderId="27" xfId="0" applyFont="1" applyFill="1" applyBorder="1" applyAlignment="1">
      <alignment horizontal="left" vertical="top" wrapText="1"/>
    </xf>
    <xf numFmtId="0" fontId="5" fillId="0" borderId="27" xfId="0" applyFont="1" applyFill="1" applyBorder="1" applyAlignment="1">
      <alignment/>
    </xf>
    <xf numFmtId="0" fontId="0" fillId="0" borderId="26" xfId="0" applyFont="1" applyFill="1" applyBorder="1" applyAlignment="1">
      <alignment horizontal="center"/>
    </xf>
    <xf numFmtId="0" fontId="0" fillId="0" borderId="70" xfId="0" applyFont="1" applyFill="1" applyBorder="1" applyAlignment="1">
      <alignment horizontal="center"/>
    </xf>
    <xf numFmtId="0" fontId="42" fillId="0" borderId="16" xfId="0" applyFont="1" applyFill="1" applyBorder="1" applyAlignment="1">
      <alignment wrapText="1"/>
    </xf>
    <xf numFmtId="0" fontId="41" fillId="0" borderId="16" xfId="0" applyFont="1" applyFill="1" applyBorder="1" applyAlignment="1">
      <alignment wrapText="1"/>
    </xf>
    <xf numFmtId="0" fontId="41" fillId="0" borderId="31" xfId="0" applyFont="1" applyFill="1" applyBorder="1" applyAlignment="1">
      <alignment horizontal="center"/>
    </xf>
    <xf numFmtId="0" fontId="41" fillId="0" borderId="32" xfId="0" applyFont="1" applyFill="1" applyBorder="1" applyAlignment="1">
      <alignment horizontal="center"/>
    </xf>
    <xf numFmtId="0" fontId="41" fillId="0" borderId="33" xfId="0" applyFont="1" applyFill="1" applyBorder="1" applyAlignment="1">
      <alignment horizontal="center"/>
    </xf>
    <xf numFmtId="0" fontId="42" fillId="0" borderId="26" xfId="0" applyFont="1" applyFill="1" applyBorder="1" applyAlignment="1">
      <alignment horizontal="center" wrapText="1"/>
    </xf>
    <xf numFmtId="0" fontId="41" fillId="0" borderId="16" xfId="0" applyFont="1" applyFill="1" applyBorder="1" applyAlignment="1">
      <alignment horizontal="left"/>
    </xf>
    <xf numFmtId="38" fontId="41" fillId="0" borderId="31" xfId="0" applyNumberFormat="1" applyFont="1" applyFill="1" applyBorder="1" applyAlignment="1">
      <alignment horizontal="center"/>
    </xf>
    <xf numFmtId="0" fontId="41" fillId="0" borderId="26" xfId="0" applyFont="1" applyFill="1" applyBorder="1" applyAlignment="1">
      <alignment wrapText="1"/>
    </xf>
    <xf numFmtId="0" fontId="42" fillId="0" borderId="42" xfId="0" applyFont="1" applyFill="1" applyBorder="1" applyAlignment="1">
      <alignment wrapText="1"/>
    </xf>
    <xf numFmtId="0" fontId="42" fillId="0" borderId="40" xfId="0" applyFont="1" applyFill="1" applyBorder="1" applyAlignment="1">
      <alignment wrapText="1"/>
    </xf>
    <xf numFmtId="0" fontId="42" fillId="0" borderId="31" xfId="0" applyFont="1" applyFill="1" applyBorder="1" applyAlignment="1">
      <alignment horizontal="center"/>
    </xf>
    <xf numFmtId="0" fontId="42" fillId="0" borderId="32" xfId="0" applyFont="1" applyFill="1" applyBorder="1" applyAlignment="1">
      <alignment horizontal="center"/>
    </xf>
    <xf numFmtId="0" fontId="42" fillId="0" borderId="33" xfId="0" applyFont="1" applyFill="1" applyBorder="1" applyAlignment="1">
      <alignment horizontal="center"/>
    </xf>
    <xf numFmtId="0" fontId="16" fillId="44" borderId="26" xfId="0" applyFont="1" applyFill="1" applyBorder="1" applyAlignment="1">
      <alignment vertical="top" wrapText="1"/>
    </xf>
    <xf numFmtId="0" fontId="16" fillId="0" borderId="31" xfId="0" applyFont="1" applyFill="1" applyBorder="1" applyAlignment="1">
      <alignment horizontal="center"/>
    </xf>
    <xf numFmtId="0" fontId="16" fillId="0" borderId="32" xfId="0" applyFont="1" applyFill="1" applyBorder="1" applyAlignment="1">
      <alignment horizontal="center"/>
    </xf>
    <xf numFmtId="0" fontId="16" fillId="0" borderId="33" xfId="0" applyFont="1" applyFill="1" applyBorder="1" applyAlignment="1">
      <alignment horizontal="center"/>
    </xf>
    <xf numFmtId="38" fontId="16" fillId="0" borderId="31" xfId="0" applyNumberFormat="1"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0" fontId="6" fillId="0" borderId="33" xfId="0" applyFont="1" applyFill="1" applyBorder="1" applyAlignment="1">
      <alignment horizontal="center"/>
    </xf>
    <xf numFmtId="0" fontId="6" fillId="44" borderId="45" xfId="0" applyFont="1" applyFill="1" applyBorder="1" applyAlignment="1">
      <alignment horizontal="center" vertical="center" wrapText="1"/>
    </xf>
    <xf numFmtId="0" fontId="6" fillId="44" borderId="25" xfId="0" applyFont="1" applyFill="1" applyBorder="1" applyAlignment="1">
      <alignment horizontal="center" vertical="center" wrapText="1"/>
    </xf>
    <xf numFmtId="0" fontId="6" fillId="44" borderId="28" xfId="0" applyFont="1" applyFill="1" applyBorder="1" applyAlignment="1">
      <alignment horizontal="center" vertical="center" wrapText="1"/>
    </xf>
    <xf numFmtId="0" fontId="6" fillId="44" borderId="30" xfId="0" applyFont="1" applyFill="1" applyBorder="1" applyAlignment="1">
      <alignment horizontal="center" vertical="center" wrapText="1"/>
    </xf>
    <xf numFmtId="0" fontId="16" fillId="44" borderId="45" xfId="0" applyFont="1" applyFill="1" applyBorder="1" applyAlignment="1">
      <alignment horizontal="left" vertical="top" wrapText="1"/>
    </xf>
    <xf numFmtId="0" fontId="16" fillId="44" borderId="25" xfId="0" applyFont="1" applyFill="1" applyBorder="1" applyAlignment="1">
      <alignment horizontal="left" vertical="top" wrapText="1"/>
    </xf>
    <xf numFmtId="0" fontId="15" fillId="0" borderId="16" xfId="0" applyFont="1" applyBorder="1" applyAlignment="1">
      <alignment horizontal="left"/>
    </xf>
    <xf numFmtId="0" fontId="122" fillId="0" borderId="0" xfId="0" applyFont="1" applyFill="1" applyAlignment="1">
      <alignment wrapText="1"/>
    </xf>
    <xf numFmtId="0" fontId="122" fillId="0" borderId="77" xfId="0" applyFont="1" applyFill="1" applyBorder="1" applyAlignment="1">
      <alignment horizontal="center" vertical="center"/>
    </xf>
    <xf numFmtId="0" fontId="122" fillId="0" borderId="61" xfId="0" applyFont="1" applyFill="1" applyBorder="1" applyAlignment="1">
      <alignment horizontal="center" vertical="center"/>
    </xf>
    <xf numFmtId="4" fontId="122" fillId="0" borderId="69" xfId="0" applyNumberFormat="1" applyFont="1" applyFill="1" applyBorder="1" applyAlignment="1">
      <alignment horizontal="right" vertical="center"/>
    </xf>
    <xf numFmtId="4" fontId="122" fillId="0" borderId="61" xfId="0" applyNumberFormat="1" applyFont="1" applyFill="1" applyBorder="1" applyAlignment="1">
      <alignment horizontal="right" vertical="center"/>
    </xf>
    <xf numFmtId="4" fontId="122" fillId="0" borderId="77" xfId="0" applyNumberFormat="1" applyFont="1" applyFill="1" applyBorder="1" applyAlignment="1">
      <alignment horizontal="right" vertical="center"/>
    </xf>
    <xf numFmtId="4" fontId="122" fillId="0" borderId="57" xfId="0" applyNumberFormat="1" applyFont="1" applyFill="1" applyBorder="1" applyAlignment="1">
      <alignment horizontal="right" vertical="center"/>
    </xf>
    <xf numFmtId="0" fontId="139" fillId="0" borderId="64" xfId="0" applyFont="1" applyFill="1" applyBorder="1" applyAlignment="1">
      <alignment vertical="top"/>
    </xf>
    <xf numFmtId="0" fontId="122" fillId="0" borderId="78" xfId="0" applyFont="1" applyFill="1" applyBorder="1" applyAlignment="1">
      <alignment horizontal="center" vertical="center"/>
    </xf>
    <xf numFmtId="0" fontId="122" fillId="0" borderId="0" xfId="0" applyFont="1" applyFill="1" applyAlignment="1">
      <alignment horizontal="center" vertical="center"/>
    </xf>
    <xf numFmtId="4" fontId="122" fillId="0" borderId="68" xfId="0" applyNumberFormat="1" applyFont="1" applyFill="1" applyBorder="1" applyAlignment="1">
      <alignment horizontal="right" vertical="center"/>
    </xf>
    <xf numFmtId="4" fontId="122" fillId="0" borderId="0" xfId="0" applyNumberFormat="1" applyFont="1" applyFill="1" applyAlignment="1">
      <alignment horizontal="right" vertical="center"/>
    </xf>
    <xf numFmtId="4" fontId="122" fillId="0" borderId="78" xfId="0" applyNumberFormat="1" applyFont="1" applyFill="1" applyBorder="1" applyAlignment="1">
      <alignment horizontal="right" vertical="center"/>
    </xf>
    <xf numFmtId="4" fontId="122" fillId="0" borderId="56" xfId="0" applyNumberFormat="1" applyFont="1" applyFill="1" applyBorder="1" applyAlignment="1">
      <alignment horizontal="right" vertical="center"/>
    </xf>
    <xf numFmtId="0" fontId="123" fillId="49" borderId="79" xfId="0" applyFont="1" applyFill="1" applyBorder="1" applyAlignment="1">
      <alignment horizontal="center" vertical="center"/>
    </xf>
    <xf numFmtId="0" fontId="123" fillId="49" borderId="64" xfId="0" applyFont="1" applyFill="1" applyBorder="1" applyAlignment="1">
      <alignment horizontal="center" vertical="center"/>
    </xf>
    <xf numFmtId="0" fontId="123" fillId="49" borderId="66" xfId="0" applyFont="1" applyFill="1" applyBorder="1" applyAlignment="1">
      <alignment horizontal="center" vertical="center" wrapText="1"/>
    </xf>
    <xf numFmtId="0" fontId="123" fillId="49" borderId="64" xfId="0" applyFont="1" applyFill="1" applyBorder="1" applyAlignment="1">
      <alignment horizontal="center" vertical="center" wrapText="1"/>
    </xf>
    <xf numFmtId="0" fontId="123" fillId="49" borderId="79" xfId="0" applyFont="1" applyFill="1" applyBorder="1" applyAlignment="1">
      <alignment horizontal="center" vertical="center" wrapText="1"/>
    </xf>
    <xf numFmtId="0" fontId="123" fillId="49" borderId="62" xfId="0" applyFont="1" applyFill="1" applyBorder="1" applyAlignment="1">
      <alignment horizontal="center" vertical="center" wrapText="1"/>
    </xf>
    <xf numFmtId="0" fontId="122" fillId="0" borderId="80" xfId="0" applyFont="1" applyFill="1" applyBorder="1" applyAlignment="1">
      <alignment horizontal="center" vertical="center"/>
    </xf>
    <xf numFmtId="0" fontId="122" fillId="0" borderId="63" xfId="0" applyFont="1" applyFill="1" applyBorder="1" applyAlignment="1">
      <alignment horizontal="center" vertical="center"/>
    </xf>
    <xf numFmtId="4" fontId="122" fillId="0" borderId="67" xfId="0" applyNumberFormat="1" applyFont="1" applyFill="1" applyBorder="1" applyAlignment="1">
      <alignment horizontal="right" vertical="center"/>
    </xf>
    <xf numFmtId="4" fontId="122" fillId="0" borderId="63" xfId="0" applyNumberFormat="1" applyFont="1" applyFill="1" applyBorder="1" applyAlignment="1">
      <alignment horizontal="right" vertical="center"/>
    </xf>
    <xf numFmtId="4" fontId="122" fillId="0" borderId="80" xfId="0" applyNumberFormat="1" applyFont="1" applyFill="1" applyBorder="1" applyAlignment="1">
      <alignment horizontal="right" vertical="center"/>
    </xf>
    <xf numFmtId="4" fontId="122" fillId="0" borderId="55" xfId="0" applyNumberFormat="1" applyFont="1" applyFill="1" applyBorder="1" applyAlignment="1">
      <alignment horizontal="right" vertical="center"/>
    </xf>
    <xf numFmtId="0" fontId="123" fillId="49" borderId="79" xfId="0" applyFont="1" applyFill="1" applyBorder="1" applyAlignment="1">
      <alignment vertical="center"/>
    </xf>
    <xf numFmtId="0" fontId="123" fillId="49" borderId="64" xfId="0" applyFont="1" applyFill="1" applyBorder="1" applyAlignment="1">
      <alignment vertical="center"/>
    </xf>
    <xf numFmtId="4" fontId="123" fillId="49" borderId="66" xfId="0" applyNumberFormat="1" applyFont="1" applyFill="1" applyBorder="1" applyAlignment="1">
      <alignment horizontal="right" vertical="center"/>
    </xf>
    <xf numFmtId="4" fontId="123" fillId="49" borderId="64" xfId="0" applyNumberFormat="1" applyFont="1" applyFill="1" applyBorder="1" applyAlignment="1">
      <alignment horizontal="right" vertical="center"/>
    </xf>
    <xf numFmtId="4" fontId="123" fillId="49" borderId="79" xfId="0" applyNumberFormat="1" applyFont="1" applyFill="1" applyBorder="1" applyAlignment="1">
      <alignment horizontal="right" vertical="center"/>
    </xf>
    <xf numFmtId="0" fontId="122" fillId="0" borderId="78" xfId="0" applyFont="1" applyFill="1" applyBorder="1" applyAlignment="1">
      <alignment vertical="center" wrapText="1"/>
    </xf>
    <xf numFmtId="0" fontId="122" fillId="0" borderId="0" xfId="0" applyFont="1" applyFill="1" applyAlignment="1">
      <alignment vertical="center" wrapText="1"/>
    </xf>
    <xf numFmtId="0" fontId="122" fillId="0" borderId="68" xfId="0" applyFont="1" applyFill="1" applyBorder="1" applyAlignment="1">
      <alignment horizontal="right" vertical="center" wrapText="1"/>
    </xf>
    <xf numFmtId="0" fontId="122" fillId="0" borderId="0" xfId="0" applyFont="1" applyFill="1" applyAlignment="1">
      <alignment horizontal="right" vertical="center" wrapText="1"/>
    </xf>
    <xf numFmtId="0" fontId="122" fillId="0" borderId="78" xfId="0" applyFont="1" applyFill="1" applyBorder="1" applyAlignment="1">
      <alignment horizontal="right" vertical="center" wrapText="1"/>
    </xf>
    <xf numFmtId="0" fontId="122" fillId="0" borderId="77" xfId="0" applyFont="1" applyFill="1" applyBorder="1" applyAlignment="1">
      <alignment vertical="center" wrapText="1"/>
    </xf>
    <xf numFmtId="0" fontId="122" fillId="0" borderId="61" xfId="0" applyFont="1" applyFill="1" applyBorder="1" applyAlignment="1">
      <alignment vertical="center" wrapText="1"/>
    </xf>
    <xf numFmtId="0" fontId="122" fillId="0" borderId="69" xfId="0" applyFont="1" applyFill="1" applyBorder="1" applyAlignment="1">
      <alignment horizontal="right" vertical="center" wrapText="1"/>
    </xf>
    <xf numFmtId="0" fontId="122" fillId="0" borderId="61" xfId="0" applyFont="1" applyFill="1" applyBorder="1" applyAlignment="1">
      <alignment horizontal="right" vertical="center" wrapText="1"/>
    </xf>
    <xf numFmtId="0" fontId="122" fillId="0" borderId="77" xfId="0" applyFont="1" applyFill="1" applyBorder="1" applyAlignment="1">
      <alignment horizontal="right" vertical="center" wrapText="1"/>
    </xf>
    <xf numFmtId="0" fontId="123" fillId="49" borderId="66" xfId="0" applyFont="1" applyFill="1" applyBorder="1" applyAlignment="1">
      <alignment horizontal="center" vertical="center"/>
    </xf>
    <xf numFmtId="0" fontId="122" fillId="0" borderId="80" xfId="0" applyFont="1" applyFill="1" applyBorder="1" applyAlignment="1">
      <alignment vertical="center" wrapText="1"/>
    </xf>
    <xf numFmtId="0" fontId="122" fillId="0" borderId="63" xfId="0" applyFont="1" applyFill="1" applyBorder="1" applyAlignment="1">
      <alignment vertical="center" wrapText="1"/>
    </xf>
    <xf numFmtId="0" fontId="122" fillId="0" borderId="67" xfId="0" applyFont="1" applyFill="1" applyBorder="1" applyAlignment="1">
      <alignment horizontal="right" vertical="center" wrapText="1"/>
    </xf>
    <xf numFmtId="0" fontId="122" fillId="0" borderId="63" xfId="0" applyFont="1" applyFill="1" applyBorder="1" applyAlignment="1">
      <alignment horizontal="right" vertical="center" wrapText="1"/>
    </xf>
    <xf numFmtId="0" fontId="122" fillId="0" borderId="80" xfId="0" applyFont="1" applyFill="1" applyBorder="1" applyAlignment="1">
      <alignment horizontal="right" vertical="center" wrapText="1"/>
    </xf>
    <xf numFmtId="4" fontId="122" fillId="0" borderId="67" xfId="0" applyNumberFormat="1" applyFont="1" applyFill="1" applyBorder="1" applyAlignment="1">
      <alignment horizontal="right" vertical="center" wrapText="1"/>
    </xf>
    <xf numFmtId="4" fontId="122" fillId="0" borderId="80" xfId="0" applyNumberFormat="1" applyFont="1" applyFill="1" applyBorder="1" applyAlignment="1">
      <alignment horizontal="right" vertical="center" wrapText="1"/>
    </xf>
    <xf numFmtId="4" fontId="122" fillId="0" borderId="69" xfId="0" applyNumberFormat="1" applyFont="1" applyFill="1" applyBorder="1" applyAlignment="1">
      <alignment horizontal="right" vertical="center" wrapText="1"/>
    </xf>
    <xf numFmtId="4" fontId="122" fillId="0" borderId="61" xfId="0" applyNumberFormat="1" applyFont="1" applyFill="1" applyBorder="1" applyAlignment="1">
      <alignment horizontal="right" vertical="center" wrapText="1"/>
    </xf>
    <xf numFmtId="4" fontId="122" fillId="0" borderId="77" xfId="0" applyNumberFormat="1" applyFont="1" applyFill="1" applyBorder="1" applyAlignment="1">
      <alignment horizontal="right" vertical="center" wrapText="1"/>
    </xf>
    <xf numFmtId="4" fontId="122" fillId="0" borderId="63" xfId="0" applyNumberFormat="1" applyFont="1" applyFill="1" applyBorder="1" applyAlignment="1">
      <alignment horizontal="right" vertical="center" wrapText="1"/>
    </xf>
    <xf numFmtId="4" fontId="122" fillId="0" borderId="68" xfId="0" applyNumberFormat="1" applyFont="1" applyFill="1" applyBorder="1" applyAlignment="1">
      <alignment horizontal="right" vertical="center" wrapText="1"/>
    </xf>
    <xf numFmtId="4" fontId="122" fillId="0" borderId="0" xfId="0" applyNumberFormat="1" applyFont="1" applyFill="1" applyAlignment="1">
      <alignment horizontal="right" vertical="center" wrapText="1"/>
    </xf>
    <xf numFmtId="4" fontId="122" fillId="0" borderId="78" xfId="0" applyNumberFormat="1" applyFont="1" applyFill="1" applyBorder="1" applyAlignment="1">
      <alignment horizontal="right" vertical="center" wrapText="1"/>
    </xf>
    <xf numFmtId="0" fontId="122" fillId="0" borderId="79" xfId="0" applyFont="1" applyFill="1" applyBorder="1" applyAlignment="1">
      <alignment vertical="center" wrapText="1"/>
    </xf>
    <xf numFmtId="0" fontId="122" fillId="0" borderId="64" xfId="0" applyFont="1" applyFill="1" applyBorder="1" applyAlignment="1">
      <alignment vertical="center" wrapText="1"/>
    </xf>
    <xf numFmtId="4" fontId="122" fillId="0" borderId="66" xfId="0" applyNumberFormat="1" applyFont="1" applyFill="1" applyBorder="1" applyAlignment="1">
      <alignment horizontal="right" vertical="center" wrapText="1"/>
    </xf>
    <xf numFmtId="4" fontId="122" fillId="0" borderId="64" xfId="0" applyNumberFormat="1" applyFont="1" applyFill="1" applyBorder="1" applyAlignment="1">
      <alignment horizontal="right" vertical="center" wrapText="1"/>
    </xf>
    <xf numFmtId="4" fontId="122" fillId="0" borderId="79" xfId="0" applyNumberFormat="1" applyFont="1" applyFill="1" applyBorder="1" applyAlignment="1">
      <alignment horizontal="right" vertical="center" wrapText="1"/>
    </xf>
    <xf numFmtId="0" fontId="139" fillId="0" borderId="63" xfId="0" applyFont="1" applyFill="1" applyBorder="1" applyAlignment="1">
      <alignment vertical="top"/>
    </xf>
    <xf numFmtId="0" fontId="122" fillId="0" borderId="0" xfId="0" applyFont="1" applyFill="1" applyAlignment="1">
      <alignment/>
    </xf>
    <xf numFmtId="0" fontId="122" fillId="0" borderId="81" xfId="0" applyFont="1" applyFill="1" applyBorder="1" applyAlignment="1">
      <alignment/>
    </xf>
    <xf numFmtId="0" fontId="122" fillId="0" borderId="82" xfId="0" applyFont="1" applyFill="1" applyBorder="1" applyAlignment="1">
      <alignment horizontal="right" vertical="top"/>
    </xf>
    <xf numFmtId="0" fontId="122" fillId="0" borderId="83" xfId="0" applyFont="1" applyFill="1" applyBorder="1" applyAlignment="1">
      <alignment horizontal="right" vertical="top"/>
    </xf>
    <xf numFmtId="0" fontId="122" fillId="0" borderId="84" xfId="0" applyFont="1" applyFill="1" applyBorder="1" applyAlignment="1">
      <alignment horizontal="right" vertical="top"/>
    </xf>
    <xf numFmtId="0" fontId="123" fillId="0" borderId="63" xfId="0" applyFont="1" applyFill="1" applyBorder="1" applyAlignment="1">
      <alignment horizontal="center" wrapText="1"/>
    </xf>
    <xf numFmtId="0" fontId="122" fillId="0" borderId="66" xfId="0" applyFont="1" applyFill="1" applyBorder="1" applyAlignment="1">
      <alignment horizontal="right" vertical="center" wrapText="1"/>
    </xf>
    <xf numFmtId="0" fontId="122" fillId="0" borderId="64" xfId="0" applyFont="1" applyFill="1" applyBorder="1" applyAlignment="1">
      <alignment horizontal="right" vertical="center" wrapText="1"/>
    </xf>
    <xf numFmtId="0" fontId="122" fillId="0" borderId="79" xfId="0" applyFont="1" applyFill="1" applyBorder="1" applyAlignment="1">
      <alignment horizontal="right" vertical="center" wrapText="1"/>
    </xf>
    <xf numFmtId="0" fontId="123" fillId="0" borderId="0" xfId="0" applyFont="1" applyFill="1" applyAlignment="1">
      <alignment horizontal="center" vertical="center"/>
    </xf>
    <xf numFmtId="0" fontId="122" fillId="0" borderId="61" xfId="0" applyFont="1" applyFill="1" applyBorder="1" applyAlignment="1">
      <alignment horizontal="right"/>
    </xf>
    <xf numFmtId="0" fontId="122" fillId="0" borderId="61" xfId="0" applyFont="1" applyFill="1" applyBorder="1" applyAlignment="1">
      <alignment/>
    </xf>
    <xf numFmtId="0" fontId="123" fillId="0" borderId="64"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0" xfId="0" applyFont="1" applyFill="1" applyBorder="1" applyAlignment="1">
      <alignment horizontal="center" vertical="center" wrapText="1"/>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38" fontId="14" fillId="0" borderId="31" xfId="0" applyNumberFormat="1"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1"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0" fillId="36" borderId="26" xfId="0" applyFont="1" applyFill="1" applyBorder="1" applyAlignment="1">
      <alignment wrapText="1"/>
    </xf>
    <xf numFmtId="0" fontId="0" fillId="36" borderId="38" xfId="0" applyFont="1" applyFill="1" applyBorder="1" applyAlignment="1">
      <alignment wrapText="1"/>
    </xf>
    <xf numFmtId="0" fontId="0" fillId="36" borderId="45"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0" fillId="36" borderId="72" xfId="0" applyFont="1" applyFill="1" applyBorder="1" applyAlignment="1">
      <alignment horizontal="center" vertical="center" wrapText="1"/>
    </xf>
    <xf numFmtId="0" fontId="0" fillId="36" borderId="73"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27" xfId="0" applyFont="1" applyFill="1" applyBorder="1" applyAlignment="1">
      <alignment horizontal="center" vertical="center" wrapText="1"/>
    </xf>
    <xf numFmtId="38" fontId="16" fillId="0" borderId="31" xfId="0" applyNumberFormat="1" applyFont="1" applyFill="1" applyBorder="1" applyAlignment="1">
      <alignment horizontal="center" wrapText="1"/>
    </xf>
    <xf numFmtId="0" fontId="16" fillId="0" borderId="33" xfId="0" applyFont="1" applyFill="1" applyBorder="1" applyAlignment="1">
      <alignment horizontal="center" wrapText="1"/>
    </xf>
    <xf numFmtId="0" fontId="16" fillId="0" borderId="31" xfId="0" applyFont="1" applyFill="1" applyBorder="1" applyAlignment="1">
      <alignment horizontal="center" wrapText="1"/>
    </xf>
    <xf numFmtId="0" fontId="6" fillId="0" borderId="16" xfId="0" applyFont="1" applyFill="1" applyBorder="1" applyAlignment="1">
      <alignment horizontal="left" wrapText="1"/>
    </xf>
    <xf numFmtId="0" fontId="16" fillId="0" borderId="16" xfId="0" applyFont="1" applyFill="1" applyBorder="1" applyAlignment="1">
      <alignment horizontal="left" wrapText="1"/>
    </xf>
    <xf numFmtId="0" fontId="6" fillId="0" borderId="31" xfId="0" applyFont="1" applyFill="1" applyBorder="1" applyAlignment="1">
      <alignment horizontal="center" wrapText="1"/>
    </xf>
    <xf numFmtId="0" fontId="6" fillId="0" borderId="33" xfId="0" applyFont="1" applyFill="1" applyBorder="1" applyAlignment="1">
      <alignment horizontal="center" wrapText="1"/>
    </xf>
    <xf numFmtId="0" fontId="15" fillId="36" borderId="15" xfId="0" applyFont="1" applyFill="1" applyBorder="1" applyAlignment="1">
      <alignment horizontal="center" wrapText="1"/>
    </xf>
    <xf numFmtId="0" fontId="51" fillId="0" borderId="26" xfId="0" applyFont="1" applyBorder="1" applyAlignment="1">
      <alignment horizontal="center" wrapText="1"/>
    </xf>
    <xf numFmtId="0" fontId="51" fillId="0" borderId="38" xfId="0" applyFont="1" applyBorder="1" applyAlignment="1">
      <alignment horizontal="center" wrapText="1"/>
    </xf>
    <xf numFmtId="0" fontId="51" fillId="0" borderId="15" xfId="0" applyFont="1" applyBorder="1" applyAlignment="1">
      <alignment horizontal="center" wrapText="1"/>
    </xf>
    <xf numFmtId="0" fontId="15" fillId="36" borderId="30" xfId="0" applyFont="1" applyFill="1" applyBorder="1" applyAlignment="1">
      <alignment horizontal="center" wrapText="1"/>
    </xf>
    <xf numFmtId="38" fontId="14" fillId="0" borderId="0" xfId="0" applyNumberFormat="1" applyFont="1" applyAlignment="1">
      <alignment horizontal="center" wrapText="1"/>
    </xf>
    <xf numFmtId="0" fontId="14" fillId="0" borderId="0" xfId="0" applyFont="1" applyAlignment="1">
      <alignment horizontal="center" wrapText="1"/>
    </xf>
    <xf numFmtId="0" fontId="15" fillId="0" borderId="0" xfId="0" applyFont="1" applyAlignment="1">
      <alignment horizontal="center" wrapText="1"/>
    </xf>
    <xf numFmtId="0" fontId="14" fillId="0" borderId="0" xfId="0" applyFont="1" applyAlignment="1">
      <alignment horizontal="justify" wrapText="1"/>
    </xf>
    <xf numFmtId="181" fontId="14" fillId="0" borderId="0" xfId="0" applyNumberFormat="1" applyFont="1" applyAlignment="1">
      <alignment horizontal="right" wrapText="1"/>
    </xf>
    <xf numFmtId="0" fontId="20" fillId="35" borderId="85" xfId="0" applyFont="1" applyFill="1" applyBorder="1" applyAlignment="1">
      <alignment horizontal="center" vertical="top" wrapText="1"/>
    </xf>
    <xf numFmtId="0" fontId="20" fillId="35" borderId="86" xfId="0" applyFont="1" applyFill="1" applyBorder="1" applyAlignment="1">
      <alignment horizontal="center" vertical="top" wrapText="1"/>
    </xf>
    <xf numFmtId="0" fontId="20" fillId="35" borderId="54" xfId="0" applyFont="1" applyFill="1" applyBorder="1" applyAlignment="1">
      <alignment horizontal="center" vertical="top" wrapText="1"/>
    </xf>
    <xf numFmtId="0" fontId="20" fillId="35" borderId="85" xfId="0" applyFont="1" applyFill="1" applyBorder="1" applyAlignment="1">
      <alignment vertical="top" wrapText="1"/>
    </xf>
    <xf numFmtId="0" fontId="20" fillId="35" borderId="86" xfId="0" applyFont="1" applyFill="1" applyBorder="1" applyAlignment="1">
      <alignment vertical="top" wrapText="1"/>
    </xf>
    <xf numFmtId="0" fontId="20" fillId="35" borderId="54" xfId="0" applyFont="1" applyFill="1" applyBorder="1" applyAlignment="1">
      <alignment vertical="top" wrapText="1"/>
    </xf>
    <xf numFmtId="0" fontId="20" fillId="0" borderId="87" xfId="0" applyFont="1" applyBorder="1" applyAlignment="1">
      <alignment horizontal="center"/>
    </xf>
    <xf numFmtId="0" fontId="0" fillId="0" borderId="88" xfId="0" applyBorder="1" applyAlignment="1">
      <alignment/>
    </xf>
    <xf numFmtId="0" fontId="0" fillId="0" borderId="24" xfId="0" applyBorder="1" applyAlignment="1">
      <alignment/>
    </xf>
    <xf numFmtId="0" fontId="20" fillId="0" borderId="19" xfId="0" applyFont="1" applyBorder="1" applyAlignment="1">
      <alignment horizontal="center"/>
    </xf>
    <xf numFmtId="0" fontId="0" fillId="0" borderId="0" xfId="0" applyBorder="1" applyAlignment="1">
      <alignment/>
    </xf>
    <xf numFmtId="0" fontId="0" fillId="0" borderId="20" xfId="0" applyBorder="1" applyAlignment="1">
      <alignment/>
    </xf>
    <xf numFmtId="0" fontId="20" fillId="0" borderId="19" xfId="0" applyFont="1" applyBorder="1" applyAlignment="1">
      <alignment/>
    </xf>
    <xf numFmtId="0" fontId="5" fillId="0" borderId="0" xfId="0" applyFont="1" applyBorder="1" applyAlignment="1">
      <alignment/>
    </xf>
    <xf numFmtId="0" fontId="19" fillId="0" borderId="85" xfId="0" applyFont="1" applyBorder="1" applyAlignment="1">
      <alignment horizontal="center" vertical="top" wrapText="1"/>
    </xf>
    <xf numFmtId="0" fontId="19" fillId="0" borderId="54" xfId="0" applyFont="1" applyBorder="1" applyAlignment="1">
      <alignment horizontal="center" vertical="top" wrapText="1"/>
    </xf>
    <xf numFmtId="0" fontId="20" fillId="35" borderId="44" xfId="0" applyFont="1" applyFill="1" applyBorder="1" applyAlignment="1">
      <alignment horizontal="center" vertical="top" wrapText="1"/>
    </xf>
    <xf numFmtId="0" fontId="20" fillId="35" borderId="89" xfId="0" applyFont="1" applyFill="1" applyBorder="1" applyAlignment="1">
      <alignment horizontal="center" vertical="top" wrapText="1"/>
    </xf>
    <xf numFmtId="0" fontId="20" fillId="35" borderId="90" xfId="0" applyFont="1" applyFill="1" applyBorder="1" applyAlignment="1">
      <alignment horizontal="center" vertical="top" wrapText="1"/>
    </xf>
    <xf numFmtId="0" fontId="127" fillId="0" borderId="70" xfId="0" applyFont="1" applyBorder="1" applyAlignment="1">
      <alignment horizontal="left"/>
    </xf>
    <xf numFmtId="0" fontId="127" fillId="0" borderId="26" xfId="0" applyFont="1" applyBorder="1" applyAlignment="1">
      <alignment horizontal="left"/>
    </xf>
    <xf numFmtId="0" fontId="127" fillId="0" borderId="38" xfId="0" applyFont="1" applyBorder="1" applyAlignment="1">
      <alignment horizontal="left"/>
    </xf>
    <xf numFmtId="0" fontId="63" fillId="50" borderId="70" xfId="0" applyFont="1" applyFill="1" applyBorder="1" applyAlignment="1">
      <alignment horizontal="center" wrapText="1"/>
    </xf>
    <xf numFmtId="0" fontId="63" fillId="50" borderId="38" xfId="0" applyFont="1" applyFill="1" applyBorder="1" applyAlignment="1">
      <alignment horizontal="center" wrapText="1"/>
    </xf>
    <xf numFmtId="0" fontId="64" fillId="0" borderId="70" xfId="0" applyFont="1" applyBorder="1" applyAlignment="1">
      <alignment horizontal="left" wrapText="1"/>
    </xf>
    <xf numFmtId="0" fontId="64" fillId="0" borderId="38" xfId="0" applyFont="1" applyBorder="1" applyAlignment="1">
      <alignment horizontal="left" wrapText="1"/>
    </xf>
    <xf numFmtId="0" fontId="126" fillId="0" borderId="70" xfId="0" applyFont="1" applyBorder="1" applyAlignment="1">
      <alignment horizontal="left" wrapText="1"/>
    </xf>
    <xf numFmtId="0" fontId="126" fillId="0" borderId="38" xfId="0" applyFont="1" applyBorder="1" applyAlignment="1">
      <alignment horizontal="left" wrapText="1"/>
    </xf>
    <xf numFmtId="0" fontId="13" fillId="50" borderId="70" xfId="0" applyFont="1" applyFill="1" applyBorder="1" applyAlignment="1">
      <alignment horizontal="center" wrapText="1"/>
    </xf>
    <xf numFmtId="0" fontId="13" fillId="50" borderId="26" xfId="0" applyFont="1" applyFill="1" applyBorder="1" applyAlignment="1">
      <alignment horizontal="center" wrapText="1"/>
    </xf>
    <xf numFmtId="0" fontId="13" fillId="50" borderId="38" xfId="0" applyFont="1" applyFill="1" applyBorder="1" applyAlignment="1">
      <alignment horizontal="center" wrapText="1"/>
    </xf>
    <xf numFmtId="0" fontId="128" fillId="0" borderId="70" xfId="0" applyFont="1" applyBorder="1" applyAlignment="1">
      <alignment horizontal="center"/>
    </xf>
    <xf numFmtId="0" fontId="128" fillId="0" borderId="26" xfId="0" applyFont="1" applyBorder="1" applyAlignment="1">
      <alignment horizontal="center"/>
    </xf>
    <xf numFmtId="0" fontId="128" fillId="0" borderId="38" xfId="0" applyFont="1" applyBorder="1" applyAlignment="1">
      <alignment horizontal="center"/>
    </xf>
    <xf numFmtId="0" fontId="127" fillId="0" borderId="70" xfId="0" applyFont="1" applyBorder="1" applyAlignment="1">
      <alignment horizontal="center"/>
    </xf>
    <xf numFmtId="0" fontId="127" fillId="0" borderId="26" xfId="0" applyFont="1" applyBorder="1" applyAlignment="1">
      <alignment horizontal="center"/>
    </xf>
    <xf numFmtId="0" fontId="127" fillId="0" borderId="38" xfId="0" applyFont="1" applyBorder="1" applyAlignment="1">
      <alignment horizontal="center"/>
    </xf>
    <xf numFmtId="0" fontId="5" fillId="0" borderId="15" xfId="0" applyFont="1" applyBorder="1" applyAlignment="1">
      <alignment horizontal="center"/>
    </xf>
    <xf numFmtId="0" fontId="0" fillId="0" borderId="70" xfId="0" applyBorder="1" applyAlignment="1">
      <alignment horizontal="center"/>
    </xf>
    <xf numFmtId="0" fontId="70" fillId="0" borderId="15" xfId="0" applyFont="1" applyBorder="1" applyAlignment="1">
      <alignment horizontal="center"/>
    </xf>
    <xf numFmtId="0" fontId="12" fillId="0" borderId="15" xfId="0" applyFont="1" applyBorder="1" applyAlignment="1">
      <alignment horizontal="center"/>
    </xf>
    <xf numFmtId="0" fontId="13" fillId="0" borderId="15" xfId="0" applyFont="1" applyBorder="1" applyAlignment="1">
      <alignment horizontal="center"/>
    </xf>
    <xf numFmtId="0" fontId="130" fillId="0" borderId="15" xfId="0" applyFont="1" applyBorder="1" applyAlignment="1">
      <alignment horizontal="center"/>
    </xf>
    <xf numFmtId="0" fontId="127" fillId="0" borderId="15" xfId="0" applyFont="1" applyBorder="1" applyAlignment="1">
      <alignment horizontal="center"/>
    </xf>
    <xf numFmtId="43" fontId="0" fillId="0" borderId="0" xfId="64" applyNumberFormat="1" applyFont="1" applyAlignment="1">
      <alignment/>
    </xf>
    <xf numFmtId="0" fontId="5" fillId="0" borderId="0" xfId="0" applyFont="1" applyAlignment="1">
      <alignment horizontal="center"/>
    </xf>
    <xf numFmtId="185" fontId="5" fillId="0" borderId="0" xfId="64" applyFont="1" applyAlignment="1">
      <alignment/>
    </xf>
    <xf numFmtId="43" fontId="133" fillId="0" borderId="0" xfId="64" applyNumberFormat="1" applyFont="1" applyAlignment="1">
      <alignment/>
    </xf>
    <xf numFmtId="185" fontId="133" fillId="0" borderId="0" xfId="64" applyFont="1" applyAlignment="1">
      <alignment/>
    </xf>
    <xf numFmtId="43" fontId="0" fillId="0" borderId="0" xfId="64" applyNumberFormat="1" applyFont="1" applyAlignment="1" quotePrefix="1">
      <alignment horizontal="center"/>
    </xf>
    <xf numFmtId="43" fontId="0" fillId="0" borderId="0" xfId="64" applyNumberFormat="1" applyFont="1" applyAlignment="1">
      <alignment horizontal="center"/>
    </xf>
    <xf numFmtId="185" fontId="51" fillId="0" borderId="0" xfId="64" applyFont="1" applyAlignment="1">
      <alignment/>
    </xf>
    <xf numFmtId="185" fontId="15" fillId="0" borderId="0" xfId="64" applyFont="1" applyAlignment="1">
      <alignment/>
    </xf>
    <xf numFmtId="185" fontId="134" fillId="0" borderId="0" xfId="64" applyFont="1" applyAlignment="1">
      <alignment/>
    </xf>
    <xf numFmtId="185" fontId="120" fillId="0" borderId="0" xfId="64" applyFont="1" applyAlignment="1">
      <alignment/>
    </xf>
    <xf numFmtId="0" fontId="120" fillId="0" borderId="0" xfId="0" applyFont="1" applyAlignment="1">
      <alignment/>
    </xf>
    <xf numFmtId="0" fontId="120" fillId="0" borderId="26" xfId="0" applyFont="1" applyBorder="1" applyAlignment="1">
      <alignment/>
    </xf>
    <xf numFmtId="43" fontId="120" fillId="0" borderId="26" xfId="64" applyNumberFormat="1" applyFont="1" applyBorder="1" applyAlignment="1">
      <alignment/>
    </xf>
    <xf numFmtId="10" fontId="120" fillId="0" borderId="0" xfId="0" applyNumberFormat="1" applyFont="1" applyAlignment="1">
      <alignment horizontal="center"/>
    </xf>
    <xf numFmtId="43" fontId="120" fillId="0" borderId="26" xfId="0" applyNumberFormat="1" applyFont="1" applyBorder="1" applyAlignment="1">
      <alignment/>
    </xf>
    <xf numFmtId="43" fontId="51" fillId="0" borderId="0" xfId="64" applyNumberFormat="1" applyFont="1" applyAlignment="1">
      <alignment/>
    </xf>
    <xf numFmtId="224" fontId="5" fillId="0" borderId="0" xfId="0" applyNumberFormat="1" applyFont="1" applyAlignment="1">
      <alignment/>
    </xf>
    <xf numFmtId="4" fontId="0" fillId="0" borderId="0" xfId="0" applyNumberFormat="1" applyAlignment="1">
      <alignment/>
    </xf>
    <xf numFmtId="0" fontId="0" fillId="0" borderId="91" xfId="0" applyBorder="1" applyAlignment="1">
      <alignment/>
    </xf>
    <xf numFmtId="0" fontId="5" fillId="0" borderId="91" xfId="0" applyFont="1" applyBorder="1" applyAlignment="1">
      <alignment horizontal="right"/>
    </xf>
    <xf numFmtId="4" fontId="5" fillId="0" borderId="91" xfId="0" applyNumberFormat="1" applyFont="1" applyBorder="1" applyAlignment="1">
      <alignment/>
    </xf>
    <xf numFmtId="0" fontId="5" fillId="0" borderId="91" xfId="0" applyFont="1" applyBorder="1" applyAlignment="1">
      <alignment/>
    </xf>
    <xf numFmtId="0" fontId="5" fillId="0" borderId="0" xfId="0" applyFont="1" applyAlignment="1">
      <alignment horizontal="left"/>
    </xf>
    <xf numFmtId="0" fontId="5" fillId="0" borderId="0" xfId="0" applyFont="1" applyAlignment="1">
      <alignment horizontal="right"/>
    </xf>
    <xf numFmtId="224" fontId="0" fillId="0" borderId="0" xfId="0" applyNumberFormat="1" applyAlignment="1">
      <alignment/>
    </xf>
    <xf numFmtId="0" fontId="0" fillId="0" borderId="0" xfId="0" applyFont="1" applyAlignment="1">
      <alignment horizontal="right"/>
    </xf>
    <xf numFmtId="4" fontId="138" fillId="0" borderId="91" xfId="0" applyNumberFormat="1" applyFont="1" applyBorder="1" applyAlignment="1">
      <alignment/>
    </xf>
    <xf numFmtId="0" fontId="15" fillId="0" borderId="0" xfId="0" applyFont="1" applyAlignment="1">
      <alignment horizontal="right"/>
    </xf>
    <xf numFmtId="0" fontId="0" fillId="0" borderId="0" xfId="0" applyAlignment="1">
      <alignment horizontal="right"/>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 6" xfId="50"/>
    <cellStyle name="Nota" xfId="51"/>
    <cellStyle name="Percent"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31</xdr:row>
      <xdr:rowOff>104775</xdr:rowOff>
    </xdr:from>
    <xdr:to>
      <xdr:col>6</xdr:col>
      <xdr:colOff>904875</xdr:colOff>
      <xdr:row>36</xdr:row>
      <xdr:rowOff>19050</xdr:rowOff>
    </xdr:to>
    <xdr:sp>
      <xdr:nvSpPr>
        <xdr:cNvPr id="1" name="Rectangle 1"/>
        <xdr:cNvSpPr>
          <a:spLocks/>
        </xdr:cNvSpPr>
      </xdr:nvSpPr>
      <xdr:spPr>
        <a:xfrm>
          <a:off x="133350" y="4343400"/>
          <a:ext cx="9067800" cy="723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1 - Os parâmetros acima foram utilizados para as projeções de receitas e despesas, bem como para os cálculos em valores correntes e constantes, de acordo com sua pertinência, ou não com as origem/espécie/rubrica de receita e/ou grupo de natureza de despesa.                                                                                    2 - Os percentuais referentes ao IPCA,  Variação do PIB, Taxa Slic e Taxa de Câmbio foram extraídos do "Relatório Focus" divulgado pelo BAnco Central do Brasil (https://www.bcb.gov.br/publicacoes/focus)  </a:t>
          </a:r>
        </a:p>
      </xdr:txBody>
    </xdr:sp>
    <xdr:clientData/>
  </xdr:twoCellAnchor>
  <xdr:twoCellAnchor>
    <xdr:from>
      <xdr:col>6</xdr:col>
      <xdr:colOff>371475</xdr:colOff>
      <xdr:row>31</xdr:row>
      <xdr:rowOff>0</xdr:rowOff>
    </xdr:from>
    <xdr:to>
      <xdr:col>6</xdr:col>
      <xdr:colOff>381000</xdr:colOff>
      <xdr:row>31</xdr:row>
      <xdr:rowOff>0</xdr:rowOff>
    </xdr:to>
    <xdr:sp>
      <xdr:nvSpPr>
        <xdr:cNvPr id="2" name="Line 8"/>
        <xdr:cNvSpPr>
          <a:spLocks/>
        </xdr:cNvSpPr>
      </xdr:nvSpPr>
      <xdr:spPr>
        <a:xfrm flipH="1">
          <a:off x="8667750" y="4238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76200</xdr:rowOff>
    </xdr:from>
    <xdr:to>
      <xdr:col>6</xdr:col>
      <xdr:colOff>771525</xdr:colOff>
      <xdr:row>55</xdr:row>
      <xdr:rowOff>76200</xdr:rowOff>
    </xdr:to>
    <xdr:sp>
      <xdr:nvSpPr>
        <xdr:cNvPr id="1" name="Rectangle 1"/>
        <xdr:cNvSpPr>
          <a:spLocks/>
        </xdr:cNvSpPr>
      </xdr:nvSpPr>
      <xdr:spPr>
        <a:xfrm>
          <a:off x="57150" y="4572000"/>
          <a:ext cx="6762750" cy="53435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rPr>
            <a:t>Esse demonstrativo tem por objetivo mensurar os valores serão objeto de renúncia fiscal de receita nos exercícios que compreenderão o triênio a partir da vigência da LDO e estabelecendo ainda as medidas de compensação que serão adotadas, visando a dar cumprimento ao disposto no art. 4º, </a:t>
          </a:r>
          <a:r>
            <a:rPr lang="en-US" cap="none" sz="1100" b="0" i="0" u="none" baseline="0">
              <a:solidFill>
                <a:srgbClr val="000000"/>
              </a:solidFill>
            </a:rPr>
            <a:t>§</a:t>
          </a:r>
          <a:r>
            <a:rPr lang="en-US" cap="none" sz="1100" b="0" i="0" u="none" baseline="0">
              <a:solidFill>
                <a:srgbClr val="000000"/>
              </a:solidFill>
            </a:rPr>
            <a:t> 2º, inciso V da LRF.
</a:t>
          </a:r>
          <a:r>
            <a:rPr lang="en-US" cap="none" sz="1100" b="0" i="0" u="none" baseline="0">
              <a:solidFill>
                <a:srgbClr val="000000"/>
              </a:solidFill>
            </a:rPr>
            <a:t> 
</a:t>
          </a:r>
          <a:r>
            <a:rPr lang="en-US" cap="none" sz="1100" b="0" i="0" u="none" baseline="0">
              <a:solidFill>
                <a:srgbClr val="000000"/>
              </a:solidFill>
            </a:rPr>
            <a:t>A concessão de incentivos fiscais é um instrumento qu visa, entre outros objetivos, fomentar o desenvolvimento econômico do Município, atraindo novas empresas ou ampliando as já existentes, de modo a gerar novos empregos e aumentar a renda per capita da população. Já os benefícios fiscais se prestam para reduzir as desigualdades sociais, desonerando determinados segmentos da sociedade do pagamento de alguns tributos, como é o caso da isenção de iptu para os aposentados de baixa renda. Diante disso pode-se afirmar que, com a devida responsabilidade, é salutar o uso desses instrumentos que tem objetivos econômicos e sociais.
</a:t>
          </a:r>
          <a:r>
            <a:rPr lang="en-US" cap="none" sz="1100" b="0" i="0" u="none" baseline="0">
              <a:solidFill>
                <a:srgbClr val="000000"/>
              </a:solidFill>
            </a:rPr>
            <a:t> 
</a:t>
          </a:r>
          <a:r>
            <a:rPr lang="en-US" cap="none" sz="1100" b="0" i="0" u="none" baseline="0">
              <a:solidFill>
                <a:srgbClr val="000000"/>
              </a:solidFill>
            </a:rPr>
            <a:t>O tema é destacado pela Lei de Responsabilidade Fiscal (LRF) que disciplinou a sua aplicação. Como sabido,  os entes da federação têm usado esses institutos como forma de controle dos desequilíbrios econômicos e sociais, e, por isso é tratado em todo o arcabouço jurídico brasileiro: constitucional, legal e infralegal.  
</a:t>
          </a:r>
          <a:r>
            <a:rPr lang="en-US" cap="none" sz="1100" b="0" i="0" u="none" baseline="0">
              <a:solidFill>
                <a:srgbClr val="000000"/>
              </a:solidFill>
            </a:rPr>
            <a:t> 
</a:t>
          </a:r>
          <a:r>
            <a:rPr lang="en-US" cap="none" sz="1100" b="0" i="0" u="none" baseline="0">
              <a:solidFill>
                <a:srgbClr val="000000"/>
              </a:solidFill>
            </a:rPr>
            <a:t>A Constituição Federal em seus artigos 70 e 165, </a:t>
          </a:r>
          <a:r>
            <a:rPr lang="en-US" cap="none" sz="1100" b="0" i="0" u="none" baseline="0">
              <a:solidFill>
                <a:srgbClr val="000000"/>
              </a:solidFill>
            </a:rPr>
            <a:t>§</a:t>
          </a:r>
          <a:r>
            <a:rPr lang="en-US" cap="none" sz="1100" b="0" i="0" u="none" baseline="0">
              <a:solidFill>
                <a:srgbClr val="000000"/>
              </a:solidFill>
            </a:rPr>
            <a:t> 6º, estabelece o controle sobre as renúncias de receita, com o nítido objetivo de promover o equilíbrio fiscal.  Por sua vez, a LRF estabeleceu em seu artigo 11 a necessidade de instituição, previsão e efetiva arrecadação de todos os tributos de competência constitucional dos entes da Federação, como requisito essencial da responsabilidade na gestão fiscal. 
</a:t>
          </a:r>
          <a:r>
            <a:rPr lang="en-US" cap="none" sz="1100" b="0" i="0" u="none" baseline="0">
              <a:solidFill>
                <a:srgbClr val="000000"/>
              </a:solidFill>
            </a:rPr>
            <a:t> 
</a:t>
          </a:r>
          <a:r>
            <a:rPr lang="en-US" cap="none" sz="1100" b="0" i="0" u="none" baseline="0">
              <a:solidFill>
                <a:srgbClr val="000000"/>
              </a:solidFill>
            </a:rPr>
            <a:t>Nesse contexto, e conforme as diretrizes estabelecidas no Projeto de Lei das Diretrizes Orçamentárias, a estimativa de renúncia de receita deverá estar inserida na metodologia de cálculo da projeção da arrecadação efetiva dos tributos municipais. 
</a:t>
          </a:r>
          <a:r>
            <a:rPr lang="en-US" cap="none" sz="1100" b="0" i="0" u="none" baseline="0">
              <a:solidFill>
                <a:srgbClr val="000000"/>
              </a:solidFill>
            </a:rPr>
            <a:t> 
</a:t>
          </a:r>
          <a:r>
            <a:rPr lang="en-US" cap="none" sz="1100" b="0" i="0" u="none" baseline="0">
              <a:solidFill>
                <a:srgbClr val="000000"/>
              </a:solidFill>
            </a:rPr>
            <a:t>Dessa forma, fica evidenciado que a Administração opta pela medida de compensação prevista no art. 14, I, da LRF, o qual determina que a renúncia deve ser considerada na estimativa de receita da lei orçamentária e de que não afetará as metas de resultados fiscais. Consequentemente, as renúncias contempladas nesse demonstrativo não precisarão ser compensadas pelo </a:t>
          </a:r>
          <a:r>
            <a:rPr lang="en-US" cap="none" sz="1100" b="0" i="1" u="none" baseline="0">
              <a:solidFill>
                <a:srgbClr val="000000"/>
              </a:solidFill>
            </a:rPr>
            <a:t>aumento de receita, proveniente da elevação de alíquotas, ampliação da base de cálculo, majoração ou criação de tributo ou contribuição</a:t>
          </a:r>
          <a:r>
            <a:rPr lang="en-US" cap="none" sz="1100" b="0" i="0" u="none" baseline="0">
              <a:solidFill>
                <a:srgbClr val="000000"/>
              </a:solidFill>
            </a:rPr>
            <a:t>, pojs a compensação já estará ocorrendo no âmbito do processo orçamentário de estimativa das respectivas receitas.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85725</xdr:rowOff>
    </xdr:from>
    <xdr:to>
      <xdr:col>1</xdr:col>
      <xdr:colOff>3114675</xdr:colOff>
      <xdr:row>48</xdr:row>
      <xdr:rowOff>28575</xdr:rowOff>
    </xdr:to>
    <xdr:sp>
      <xdr:nvSpPr>
        <xdr:cNvPr id="1" name="Rectangle 1"/>
        <xdr:cNvSpPr>
          <a:spLocks/>
        </xdr:cNvSpPr>
      </xdr:nvSpPr>
      <xdr:spPr>
        <a:xfrm>
          <a:off x="19050" y="4714875"/>
          <a:ext cx="6705600" cy="3829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rPr>
            <a:t> A Demonstração da margem de expansão das despesas obrigatórias de caráter continuado visa a assegurar que não haverá criação de nova despesa sem a correspondente fonte de financiamento. 
</a:t>
          </a:r>
          <a:r>
            <a:rPr lang="en-US" cap="none" sz="1200" b="0" i="0" u="none" baseline="0">
              <a:solidFill>
                <a:srgbClr val="000000"/>
              </a:solidFill>
            </a:rPr>
            <a:t>
</a:t>
          </a:r>
          <a:r>
            <a:rPr lang="en-US" cap="none" sz="1200" b="0" i="0" u="none" baseline="0">
              <a:solidFill>
                <a:srgbClr val="000000"/>
              </a:solidFill>
            </a:rPr>
            <a:t>Em outras palavras, o demonstrativo identifica o aumento permanente de receita para suportar o aumento permanente da despesa de caráter continuado, assim entendida aquela derivada de lei, contrato, ou ato normativo que fixe a obrigatoriedade de execução por um período superior a dois exercícios, cumprindo, dessa forma, a disposição contida no art. 4º, </a:t>
          </a:r>
          <a:r>
            <a:rPr lang="en-US" cap="none" sz="1200" b="0" i="0" u="none" baseline="0">
              <a:solidFill>
                <a:srgbClr val="000000"/>
              </a:solidFill>
              <a:latin typeface="Arial"/>
              <a:ea typeface="Arial"/>
              <a:cs typeface="Arial"/>
            </a:rPr>
            <a:t>§</a:t>
          </a:r>
          <a:r>
            <a:rPr lang="en-US" cap="none" sz="1200" b="0" i="0" u="none" baseline="0">
              <a:solidFill>
                <a:srgbClr val="000000"/>
              </a:solidFill>
            </a:rPr>
            <a:t> 2º, inciso V da LRF.
</a:t>
          </a:r>
          <a:r>
            <a:rPr lang="en-US" cap="none" sz="1200" b="0" i="0" u="none" baseline="0">
              <a:solidFill>
                <a:srgbClr val="000000"/>
              </a:solidFill>
            </a:rPr>
            <a:t>
</a:t>
          </a:r>
          <a:r>
            <a:rPr lang="en-US" cap="none" sz="1200" b="0" i="0" u="none" baseline="0">
              <a:solidFill>
                <a:srgbClr val="000000"/>
              </a:solidFill>
            </a:rPr>
            <a:t>Desse modo, para estimar o aumento permanente das receitas em 2023 considerou-se o incremento real, ou seja, a diferença entre os valores estimados a preços constantes das receitas  trbutárias e de transferências correntes, no biênio 2022-2023.
</a:t>
          </a:r>
          <a:r>
            <a:rPr lang="en-US" cap="none" sz="1200" b="0" i="0" u="none" baseline="0">
              <a:solidFill>
                <a:srgbClr val="000000"/>
              </a:solidFill>
            </a:rPr>
            <a:t>
</a:t>
          </a:r>
          <a:r>
            <a:rPr lang="en-US" cap="none" sz="1200" b="0" i="0" u="none" baseline="0">
              <a:solidFill>
                <a:srgbClr val="000000"/>
              </a:solidFill>
            </a:rPr>
            <a:t>Na mesma linha, o aumento permandente das despesas de caráter obrigatório que terão impacto em 2023, foi calculado pela diferença a valores constantes, observada no biênio 2021-2022 nos grupos de natureza de despesa "Pessoal" e "Outras Despesas Correntes", chegando-se, assim, ao saldo da margem líquida de expansão.  Quando negativo (</a:t>
          </a:r>
          <a:r>
            <a:rPr lang="en-US" cap="none" sz="1200" b="1" i="0" u="none" baseline="0">
              <a:solidFill>
                <a:srgbClr val="000000"/>
              </a:solidFill>
            </a:rPr>
            <a:t>SEM MARGEM</a:t>
          </a:r>
          <a:r>
            <a:rPr lang="en-US" cap="none" sz="1200" b="0" i="0" u="none" baseline="0">
              <a:solidFill>
                <a:srgbClr val="000000"/>
              </a:solidFill>
            </a:rPr>
            <a:t>), o resultado apresentado </a:t>
          </a:r>
          <a:r>
            <a:rPr lang="en-US" cap="none" sz="1200" b="0" i="0" u="none" baseline="0">
              <a:solidFill>
                <a:srgbClr val="000000"/>
              </a:solidFill>
            </a:rPr>
            <a:t>é meramente indicativo de alerta para a criação de novas DOCC</a:t>
          </a:r>
          <a:r>
            <a:rPr lang="en-US" cap="none" sz="1200" b="1" i="0" u="none" baseline="0">
              <a:solidFill>
                <a:srgbClr val="000000"/>
              </a:solidFill>
            </a:rPr>
            <a:t>.  Quando for positivo </a:t>
          </a:r>
          <a:r>
            <a:rPr lang="en-US" cap="none" sz="1200" b="0" i="0" u="none" baseline="0">
              <a:solidFill>
                <a:srgbClr val="000000"/>
              </a:solidFill>
            </a:rPr>
            <a:t>é indicativo da possibilidade</a:t>
          </a:r>
          <a:r>
            <a:rPr lang="en-US" cap="none" sz="1200" b="0" i="0" u="none" baseline="0">
              <a:solidFill>
                <a:srgbClr val="000000"/>
              </a:solidFill>
            </a:rPr>
            <a:t> de </a:t>
          </a:r>
          <a:r>
            <a:rPr lang="en-US" cap="none" sz="1200" b="0" i="0" u="none" baseline="0">
              <a:solidFill>
                <a:srgbClr val="000000"/>
              </a:solidFill>
            </a:rPr>
            <a:t>criação de novas DOCC.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27</xdr:row>
      <xdr:rowOff>76200</xdr:rowOff>
    </xdr:from>
    <xdr:to>
      <xdr:col>3</xdr:col>
      <xdr:colOff>838200</xdr:colOff>
      <xdr:row>40</xdr:row>
      <xdr:rowOff>47625</xdr:rowOff>
    </xdr:to>
    <xdr:sp>
      <xdr:nvSpPr>
        <xdr:cNvPr id="1" name="Rectangle 2"/>
        <xdr:cNvSpPr>
          <a:spLocks/>
        </xdr:cNvSpPr>
      </xdr:nvSpPr>
      <xdr:spPr>
        <a:xfrm>
          <a:off x="180975" y="4505325"/>
          <a:ext cx="7886700" cy="1828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3º da LRF.                                                                             1 - Os valores referente aos </a:t>
          </a:r>
          <a:r>
            <a:rPr lang="en-US" cap="none" sz="1000" b="1" i="0" u="none" baseline="0">
              <a:solidFill>
                <a:srgbClr val="000000"/>
              </a:solidFill>
              <a:latin typeface="Arial"/>
              <a:ea typeface="Arial"/>
              <a:cs typeface="Arial"/>
            </a:rPr>
            <a:t>PASSIVOS CONTINGENTES</a:t>
          </a:r>
          <a:r>
            <a:rPr lang="en-US" cap="none" sz="1000" b="0" i="0" u="none" baseline="0">
              <a:solidFill>
                <a:srgbClr val="000000"/>
              </a:solidFill>
              <a:latin typeface="Arial"/>
              <a:ea typeface="Arial"/>
              <a:cs typeface="Arial"/>
            </a:rPr>
            <a:t>, representam a estimativa de </a:t>
          </a:r>
          <a:r>
            <a:rPr lang="en-US" cap="none" sz="1100" b="0" i="0" u="none" baseline="0">
              <a:solidFill>
                <a:srgbClr val="000000"/>
              </a:solidFill>
            </a:rPr>
            <a:t>possível obrigações em 2023,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2023.                                                                                                           2 -  Os </a:t>
          </a:r>
          <a:r>
            <a:rPr lang="en-US" cap="none" sz="1100" b="1" i="0" u="none" baseline="0">
              <a:solidFill>
                <a:srgbClr val="000000"/>
              </a:solidFill>
            </a:rPr>
            <a:t>DEMAIS RISCOS FISCAIS PASSIVOS </a:t>
          </a:r>
          <a:r>
            <a:rPr lang="en-US" cap="none" sz="11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1100" b="0" i="0" u="none" baseline="0">
              <a:solidFill>
                <a:srgbClr val="000000"/>
              </a:solidFill>
            </a:rPr>
            <a:t>fixadas (abertura de créditos especiais e/opu extraordinários) ou orçadas a menor (créditos suplementares).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27</xdr:row>
      <xdr:rowOff>0</xdr:rowOff>
    </xdr:from>
    <xdr:to>
      <xdr:col>4</xdr:col>
      <xdr:colOff>28575</xdr:colOff>
      <xdr:row>34</xdr:row>
      <xdr:rowOff>114300</xdr:rowOff>
    </xdr:to>
    <xdr:sp>
      <xdr:nvSpPr>
        <xdr:cNvPr id="2" name="Rectangle 2"/>
        <xdr:cNvSpPr>
          <a:spLocks/>
        </xdr:cNvSpPr>
      </xdr:nvSpPr>
      <xdr:spPr>
        <a:xfrm>
          <a:off x="19050" y="4429125"/>
          <a:ext cx="8077200" cy="1114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O Anexo de Riscos fiscais tem por objetivo especificar eventuais riscos que possam impactar negativamente nas contas públicas, indicando de forma preventiva as providências a serem tomadas caso as situaçãoes acima descritas venham a ocorrer, cumprindo desta forma o disposto no art. 4º, </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3º da LRF.                                                                             1 - Os valores referente aos </a:t>
          </a:r>
          <a:r>
            <a:rPr lang="en-US" cap="none" sz="800" b="1" i="0" u="none" baseline="0">
              <a:solidFill>
                <a:srgbClr val="000000"/>
              </a:solidFill>
              <a:latin typeface="Arial"/>
              <a:ea typeface="Arial"/>
              <a:cs typeface="Arial"/>
            </a:rPr>
            <a:t>PASSIVOS CONTINGENTES</a:t>
          </a:r>
          <a:r>
            <a:rPr lang="en-US" cap="none" sz="800" b="0" i="0" u="none" baseline="0">
              <a:solidFill>
                <a:srgbClr val="000000"/>
              </a:solidFill>
              <a:latin typeface="Arial"/>
              <a:ea typeface="Arial"/>
              <a:cs typeface="Arial"/>
            </a:rPr>
            <a:t>, representam a estimativa de </a:t>
          </a:r>
          <a:r>
            <a:rPr lang="en-US" cap="none" sz="800" b="0" i="0" u="none" baseline="0">
              <a:solidFill>
                <a:srgbClr val="000000"/>
              </a:solidFill>
            </a:rPr>
            <a:t>possível obrigações em 2023, cuja existência será confirmada somente em caso de ocorrência de um mais eventos futuros que não estão totalmente sob o controle do Municípioda entidade.  Também poderão poderão representar possíveis obrigações decorretes de eventos passados, mas que não estão reconhecidas contabilmente e tampouco contam com previsão de recursos no orçamento porque é improvável a sua liquidação em 2023.                                                                                                           2 -  Os </a:t>
          </a:r>
          <a:r>
            <a:rPr lang="en-US" cap="none" sz="800" b="1" i="0" u="none" baseline="0">
              <a:solidFill>
                <a:srgbClr val="000000"/>
              </a:solidFill>
            </a:rPr>
            <a:t>DEMAIS RISCOS FISCAIS PASSIVOS </a:t>
          </a:r>
          <a:r>
            <a:rPr lang="en-US" cap="none" sz="800" b="0" i="0" u="none" baseline="0">
              <a:solidFill>
                <a:srgbClr val="000000"/>
              </a:solidFill>
            </a:rPr>
            <a:t>estão relacionados principalmente aos riscos orçamentários relacionados com a possibilidade da ocorrência de impactos negativos na execução orçamentária,  devido a fatores tais como as receitas previstas não se realizarem (frustração de  à necessidade de execução de despesas inicialmente não
</a:t>
          </a:r>
          <a:r>
            <a:rPr lang="en-US" cap="none" sz="800" b="0" i="0" u="none" baseline="0">
              <a:solidFill>
                <a:srgbClr val="000000"/>
              </a:solidFill>
            </a:rPr>
            <a:t>fixadas (abertura de créditos especiais e/opu extraordinários) ou orçadas a menor (créditos suplementares).</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26</xdr:row>
      <xdr:rowOff>142875</xdr:rowOff>
    </xdr:from>
    <xdr:to>
      <xdr:col>6</xdr:col>
      <xdr:colOff>495300</xdr:colOff>
      <xdr:row>38</xdr:row>
      <xdr:rowOff>85725</xdr:rowOff>
    </xdr:to>
    <xdr:sp>
      <xdr:nvSpPr>
        <xdr:cNvPr id="1" name="Rectangle 6"/>
        <xdr:cNvSpPr>
          <a:spLocks/>
        </xdr:cNvSpPr>
      </xdr:nvSpPr>
      <xdr:spPr>
        <a:xfrm>
          <a:off x="342900" y="5505450"/>
          <a:ext cx="8801100" cy="17716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Dívida Pública Consolidada – É o montante total apurado: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das obrigações financeiras do Município, inclusive as decorrentes de emissão de títulos, assumidas em virtude de leis, contratos, convênios ou tratados;
</a:t>
          </a:r>
          <a:r>
            <a:rPr lang="en-US" cap="none" sz="1000" b="0" i="0" u="none" baseline="0">
              <a:solidFill>
                <a:srgbClr val="000000"/>
              </a:solidFill>
              <a:latin typeface="Arial"/>
              <a:ea typeface="Arial"/>
              <a:cs typeface="Arial"/>
            </a:rPr>
            <a:t>- das obrigações financeiras doMunicípio, assumidas em virtude da realização de operações de crédito para amortização em prazo superior a doze meses ou que, embora de prazo inferior a doze meses, tenham constado como receitas no orçamento;
</a:t>
          </a:r>
          <a:r>
            <a:rPr lang="en-US" cap="none" sz="1000" b="0" i="0" u="none" baseline="0">
              <a:solidFill>
                <a:srgbClr val="000000"/>
              </a:solidFill>
              <a:latin typeface="Arial"/>
              <a:ea typeface="Arial"/>
              <a:cs typeface="Arial"/>
            </a:rPr>
            <a:t>- dos precatórios judiciais emitidos a partir de 5 de maio de 2000 e não pagos durante a execução do orçamento em que houverem sido incluídos.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Dívida Consolidada Líquida – DCL –</a:t>
          </a:r>
          <a:r>
            <a:rPr lang="en-US" cap="none" sz="1000" b="0" i="0" u="none" baseline="0">
              <a:solidFill>
                <a:srgbClr val="000000"/>
              </a:solidFill>
              <a:latin typeface="Arial"/>
              <a:ea typeface="Arial"/>
              <a:cs typeface="Arial"/>
            </a:rPr>
            <a:t> Corresponde à dívida pública consolidada menos as deduções, que compreendem o ativo disponível e os haveres financeiros, líquidos dos Restos a Pagar Processados.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Obs: os valores da dívida consolidada foram extraídos do demonstrativo do SICONFI de 2020, 2021 E 1º Quadrimestre de  2022</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104775</xdr:rowOff>
    </xdr:from>
    <xdr:to>
      <xdr:col>12</xdr:col>
      <xdr:colOff>600075</xdr:colOff>
      <xdr:row>91</xdr:row>
      <xdr:rowOff>47625</xdr:rowOff>
    </xdr:to>
    <xdr:sp>
      <xdr:nvSpPr>
        <xdr:cNvPr id="1" name="Rectangle 3"/>
        <xdr:cNvSpPr>
          <a:spLocks/>
        </xdr:cNvSpPr>
      </xdr:nvSpPr>
      <xdr:spPr>
        <a:xfrm>
          <a:off x="66675" y="7086600"/>
          <a:ext cx="11296650" cy="8858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Item 02.00.02.01 do Manual dos Demonstrativos Fiscais, as METAS FISCAIS representam os resultados a serem alcançados para variáveis fiscais visando atingir os objetivos desejados quanto à trajetória de endividamento no médio prazo. Pelo princípio da gestão fiscal responsável, as metas representam a conexão entre o planejamento, a elaboração e a execução do orçamento. Esses parâmetros indicam os rumos da condução da política fiscal para os próximos exercícios e servem de indicadores para a promoção da limitação de empenho e de movimentação financeira.</a:t>
          </a:r>
          <a:r>
            <a:rPr lang="en-US" cap="none" sz="1100" b="0" i="0" u="none" baseline="0">
              <a:solidFill>
                <a:srgbClr val="000000"/>
              </a:solidFill>
            </a:rPr>
            <a:t>
</a:t>
          </a:r>
          <a:r>
            <a:rPr lang="en-US" cap="none" sz="1100" b="0" i="0" u="none" baseline="0">
              <a:solidFill>
                <a:srgbClr val="000000"/>
              </a:solidFill>
            </a:rPr>
            <a:t>Para melhor entendimento, cabem aqui os seguintes conceitos:
</a:t>
          </a:r>
          <a:r>
            <a:rPr lang="en-US" cap="none" sz="1100" b="0" i="0" u="none" baseline="0">
              <a:solidFill>
                <a:srgbClr val="000000"/>
              </a:solidFill>
            </a:rPr>
            <a:t>1 – as receitas primárias correspondem às receitas fiscais líquidas, resultantes do somatório das receitas correntes e de capital, excluídas as receitas de aplicações financeiras (juros de títulos de renda, remuneração de depósitos e outras receitas de valores mobiliários), operações de crédito, amortização de empréstimos e alienação de investimentos permenentes e temporários;
</a:t>
          </a:r>
          <a:r>
            <a:rPr lang="en-US" cap="none" sz="1100" b="0" i="0" u="none" baseline="0">
              <a:solidFill>
                <a:srgbClr val="000000"/>
              </a:solidFill>
            </a:rPr>
            <a:t>2 – as despesas primárias correspondem ao total da despesa orçamentária deduzidas as despesas com juros e amortização da dívida, aquisição de títulos de capital integralizado e as despesas com concessão de empréstimos com retorno garantido. 
</a:t>
          </a:r>
          <a:r>
            <a:rPr lang="en-US" cap="none" sz="1100" b="0" i="0" u="none" baseline="0">
              <a:solidFill>
                <a:srgbClr val="000000"/>
              </a:solidFill>
            </a:rPr>
            <a:t>3 – o resultado primário ACIMA DA LINHA corresponde à diferença entre as receitas primárias e despesas primárias evidenciando o esforço fiscal do Município, ressaltando-se que, para fins de equilibrio formal entre os valores previstos, e de acordo com as instruções do Item 03.06.05.01 do Manual dos Demonstrativbos Fiscais, os valores projetados da Reserva de Contingência estão sendo somados às despesas primárias.
</a:t>
          </a:r>
          <a:r>
            <a:rPr lang="en-US" cap="none" sz="1100" b="0" i="0" u="none" baseline="0">
              <a:solidFill>
                <a:srgbClr val="000000"/>
              </a:solidFill>
            </a:rPr>
            <a:t>4 – o resultado nominal que, para fins do Anexo e avaliação das metas fiscais deve ser calculado pelo critério ACIMA DA LINHA foi obtido a partir do resultado primário somado ao resultado da comperação entre  os juros ativos e passivos, representado a variação do estoque da dívida;                                                                                                                                                                                                                                      5 – a dívida pública consolidada é o montante apurado das obrigações financeiras do ente da Federação, inclusive as decorrentes de emissão de títulos, assumidas em virtude de leis, contratos, convênios ou tratados; as assumidas em virtude da realização de operações de crédito para amortização em prazo superior a doze meses ou que, embora de prazo inferior a doze meses, tenham constado como receitas no orçamento; dos precatórios judiciais emitidos a partir de 5 de maio de 2000 e não pagos durante a execução do orçamento em que houverem sido incluídos;
</a:t>
          </a:r>
          <a:r>
            <a:rPr lang="en-US" cap="none" sz="1100" b="0" i="0" u="none" baseline="0">
              <a:solidFill>
                <a:srgbClr val="000000"/>
              </a:solidFill>
            </a:rPr>
            <a:t>6 – a dívida Consolidada Líquida – DCL - corresponde à dívida pública consolidada, deduzidos os valores que compreendem o ativo disponível e os haveres financeiros, líquidos dos Restos a Pagar Processados.
</a:t>
          </a:r>
          <a:r>
            <a:rPr lang="en-US" cap="none" sz="1100" b="0" i="0" u="none" baseline="0">
              <a:solidFill>
                <a:srgbClr val="000000"/>
              </a:solidFill>
            </a:rPr>
            <a:t> 
</a:t>
          </a:r>
          <a:r>
            <a:rPr lang="en-US" cap="none" sz="1100" b="1" i="0" u="none" baseline="0">
              <a:solidFill>
                <a:srgbClr val="000000"/>
              </a:solidFill>
            </a:rPr>
            <a:t>Premissas e Metodologia UtilizadaS:</a:t>
          </a:r>
          <a:r>
            <a:rPr lang="en-US" cap="none" sz="1100" b="0" i="0" u="none" baseline="0">
              <a:solidFill>
                <a:srgbClr val="000000"/>
              </a:solidFill>
            </a:rPr>
            <a:t>
</a:t>
          </a:r>
          <a:r>
            <a:rPr lang="en-US" cap="none" sz="1100" b="1" i="0" u="none" baseline="0">
              <a:solidFill>
                <a:srgbClr val="000000"/>
              </a:solidFill>
            </a:rPr>
            <a:t>1 -</a:t>
          </a:r>
          <a:r>
            <a:rPr lang="en-US" cap="none" sz="1100" b="0" i="0" u="none" baseline="0">
              <a:solidFill>
                <a:srgbClr val="000000"/>
              </a:solidFill>
            </a:rPr>
            <a:t> Os parâmetros macroeconômicos utilizados na elaboração das estimativas constantes no Anexo de Metas Fiscais são relacionados na </a:t>
          </a:r>
          <a:r>
            <a:rPr lang="en-US" cap="none" sz="1100" b="1" i="0" u="none" baseline="0">
              <a:solidFill>
                <a:srgbClr val="000000"/>
              </a:solidFill>
            </a:rPr>
            <a:t>Tabela 01.</a:t>
          </a:r>
          <a:r>
            <a:rPr lang="en-US" cap="none" sz="1100" b="0" i="0" u="none" baseline="0">
              <a:solidFill>
                <a:srgbClr val="000000"/>
              </a:solidFill>
            </a:rPr>
            <a:t> Os números estão apresentados de duas formas. Em moeda corrente e em valores constantes (sem inflação). Esses indicadores foram utilizados na composição da estimativa de receita que considerou a média de arrecadação, em cada fonte, tomando por base as receitas arrecadadas nos últimos três exercícios (2019, 2020 e 2021) e os valores reestimados para o exercício atual (2022), além das premissas consideradas como verdadeiras e relacionadas, por exemplo, ao índice de inflação, crescimento do PIB, atualização da planta de valores do IPTU, ampliação do perímetro urbano da cidade, políticas de combate à evasão e à sonegação fiscal, comportamento das receitas oriundas de transferências da União e do Estado, dentre outros.
</a:t>
          </a:r>
          <a:r>
            <a:rPr lang="en-US" cap="none" sz="1100" b="1" i="0" u="none" baseline="0">
              <a:solidFill>
                <a:srgbClr val="000000"/>
              </a:solidFill>
            </a:rPr>
            <a:t>2 -</a:t>
          </a:r>
          <a:r>
            <a:rPr lang="en-US" cap="none" sz="1100" b="0" i="0" u="none" baseline="0">
              <a:solidFill>
                <a:srgbClr val="000000"/>
              </a:solidFill>
            </a:rPr>
            <a:t> Em relação às despesas correntes, foram considerados os parâmetros de inflação, crescimento vegetativo e aumento real, quando cabível, das despesas de custeios.  Quanrto aos aos investimentos, além da inflação, considerou-se a estimativa de crescimento real dessas despesas em nível que viabilize a sua expansão a fim de garantir, precipuamente, a conclusão dos projetos em andamento demonstrados no </a:t>
          </a:r>
          <a:r>
            <a:rPr lang="en-US" cap="none" sz="1100" b="1" i="0" u="none" baseline="0">
              <a:solidFill>
                <a:srgbClr val="000000"/>
              </a:solidFill>
            </a:rPr>
            <a:t>Anexo IV.</a:t>
          </a:r>
          <a:r>
            <a:rPr lang="en-US" cap="none" sz="1100" b="0" i="0" u="none" baseline="0">
              <a:solidFill>
                <a:srgbClr val="000000"/>
              </a:solidFill>
            </a:rPr>
            <a:t>  Asseguraram-se, ainda, os recursos para pagamento das obrigações decorrentes de juros e amortização da dívida pública.
</a:t>
          </a:r>
          <a:r>
            <a:rPr lang="en-US" cap="none" sz="1100" b="1" i="0" u="none" baseline="0">
              <a:solidFill>
                <a:srgbClr val="000000"/>
              </a:solidFill>
            </a:rPr>
            <a:t>3 –</a:t>
          </a:r>
          <a:r>
            <a:rPr lang="en-US" cap="none" sz="1100" b="0" i="0" u="none" baseline="0">
              <a:solidFill>
                <a:srgbClr val="000000"/>
              </a:solidFill>
            </a:rPr>
            <a:t> No tocante às despesas com pessoal, em específico, foi considerado o provável efeito da revisão geral anual prevista na Constituição, o crescimento vegetativo da folha salarial e eventual aumento acima dos níveis inflacionários. As </a:t>
          </a:r>
          <a:r>
            <a:rPr lang="en-US" cap="none" sz="1100" b="1" i="0" u="none" baseline="0">
              <a:solidFill>
                <a:srgbClr val="000000"/>
              </a:solidFill>
            </a:rPr>
            <a:t>Tabelas  03 e 04 </a:t>
          </a:r>
          <a:r>
            <a:rPr lang="en-US" cap="none" sz="1100" b="0" i="0" u="none" baseline="0">
              <a:solidFill>
                <a:srgbClr val="000000"/>
              </a:solidFill>
            </a:rPr>
            <a:t>demonstram, respectivamente, as projeções para a Receita Corrente Líquida e Limites para os  Gastos com Pessoal dos Poderes Executivo e Legislativo.
</a:t>
          </a:r>
          <a:r>
            <a:rPr lang="en-US" cap="none" sz="1100" b="1" i="0" u="none" baseline="0">
              <a:solidFill>
                <a:srgbClr val="000000"/>
              </a:solidFill>
            </a:rPr>
            <a:t>4 -</a:t>
          </a:r>
          <a:r>
            <a:rPr lang="en-US" cap="none" sz="1100" b="0" i="0" u="none" baseline="0">
              <a:solidFill>
                <a:srgbClr val="000000"/>
              </a:solidFill>
            </a:rPr>
            <a:t> Considera-se o PIB e o IPCA como as principais variáveis para explicar o crescimento nominal das receitas, visto que boa parte das receitas tributárias e não tributárias, bem como as transferências constitucionais e legais acompanham o ritmo das atividades econômicas de âmbito nacional. Assim, para os exercícios de 2023, 2024 e 2025, considerou-se um crescimento do Produto Interno Bruto nacional de           %,           % e         % e das taxas de inflação (INPC), de    6,30%,   4,70% e     4,70%, respectivamente, cujas projeções decorrem do sistema de expectativa de mercado, segundo informações do sítio do Banco Central do Brasil, verificadas em                  ___/___/2022.
</a:t>
          </a:r>
          <a:r>
            <a:rPr lang="en-US" cap="none" sz="1100" b="1" i="0" u="none" baseline="0">
              <a:solidFill>
                <a:srgbClr val="000000"/>
              </a:solidFill>
            </a:rPr>
            <a:t>5 -</a:t>
          </a:r>
          <a:r>
            <a:rPr lang="en-US" cap="none" sz="1100" b="0" i="0" u="none" baseline="0">
              <a:solidFill>
                <a:srgbClr val="000000"/>
              </a:solidFill>
            </a:rPr>
            <a:t> Outro ponto importante a ser destacado é que a receita do Município, conforme estabelece o </a:t>
          </a:r>
          <a:r>
            <a:rPr lang="en-US" cap="none" sz="1100" b="0" i="0" u="none" baseline="0">
              <a:solidFill>
                <a:srgbClr val="000000"/>
              </a:solidFill>
            </a:rPr>
            <a:t>§</a:t>
          </a:r>
          <a:r>
            <a:rPr lang="en-US" cap="none" sz="1100" b="0" i="0" u="none" baseline="0">
              <a:solidFill>
                <a:srgbClr val="000000"/>
              </a:solidFill>
            </a:rPr>
            <a:t> 3º, do art. 1º da Lei Complementar nº 101/00, compreende as receitas de todos os órgãos da Administração Pública Municipal, inclusive as receitas intraorçamentárias.
</a:t>
          </a:r>
          <a:r>
            <a:rPr lang="en-US" cap="none" sz="1100" b="1" i="0" u="none" baseline="0">
              <a:solidFill>
                <a:srgbClr val="000000"/>
              </a:solidFill>
            </a:rPr>
            <a:t>6 -</a:t>
          </a:r>
          <a:r>
            <a:rPr lang="en-US" cap="none" sz="1100" b="0" i="0" u="none" baseline="0">
              <a:solidFill>
                <a:srgbClr val="000000"/>
              </a:solidFill>
            </a:rPr>
            <a:t> Em relação ao cálculo do Resultado Primário e do Resultado Nominal, considerou a metodologia estabelecida na Portaria STN nº 924/2021. Os resultados primários previstos para os três exercícios são considerados suficientes para manutenção do equilíbrio fiscal. Cabe ponderar que, nos termos do art. 2º da LDO, o resultado primário poderá ser revisto por ocasião da elaboração da Lei Orçamentária Anual ou durante o exercício de 2023. O resultado nominal reflete a variação do endividamento fiscal líquido entre as datas referidas.  A memória de cálculo do Resultao Primário e Nominal pelo critério acima da linha está especificada </a:t>
          </a:r>
          <a:r>
            <a:rPr lang="en-US" cap="none" sz="1100" b="1" i="0" u="none" baseline="0">
              <a:solidFill>
                <a:srgbClr val="000000"/>
              </a:solidFill>
            </a:rPr>
            <a:t>na Tabela 06.
</a:t>
          </a:r>
          <a:r>
            <a:rPr lang="en-US" cap="none" sz="1100" b="1" i="0" u="none" baseline="0">
              <a:solidFill>
                <a:srgbClr val="000000"/>
              </a:solidFill>
            </a:rPr>
            <a:t>7 -</a:t>
          </a:r>
          <a:r>
            <a:rPr lang="en-US" cap="none" sz="1100" b="0" i="0" u="none" baseline="0">
              <a:solidFill>
                <a:srgbClr val="000000"/>
              </a:solidFill>
            </a:rPr>
            <a:t> Na estimativa do montante da dívida consolidada, utilizou-se, como parâmetro de correção a previsão da média anual para a taxa de juros SELIC,  de ____%, ____% e ____%, segundo informações do sítio do Banco Central do Brasil, verificadas em  ___/____/2022.  
</a:t>
          </a:r>
          <a:r>
            <a:rPr lang="en-US" cap="none" sz="1100" b="1" i="0" u="none" baseline="0">
              <a:solidFill>
                <a:srgbClr val="000000"/>
              </a:solidFill>
            </a:rPr>
            <a:t>8 -</a:t>
          </a:r>
          <a:r>
            <a:rPr lang="en-US" cap="none" sz="1100" b="0" i="0" u="none" baseline="0">
              <a:solidFill>
                <a:srgbClr val="000000"/>
              </a:solidFill>
            </a:rPr>
            <a:t> Já na apuração do montante da dívida líquida, os valores das Disponibilidades Financeiras foram calculados levando-se em consideração o provável saldo existente em 31/12/2022, projetando-se os valores futuros com base nos percentuais médios dos valores realizados no ano anterior.
</a:t>
          </a:r>
          <a:r>
            <a:rPr lang="en-US" cap="none" sz="1100" b="1" i="0" u="none" baseline="0">
              <a:solidFill>
                <a:srgbClr val="000000"/>
              </a:solidFill>
            </a:rPr>
            <a:t>9 -</a:t>
          </a:r>
          <a:r>
            <a:rPr lang="en-US" cap="none" sz="1100" b="0" i="0" u="none" baseline="0">
              <a:solidFill>
                <a:srgbClr val="000000"/>
              </a:solidFill>
            </a:rPr>
            <a:t> Isso posto, podemos elencar, a partir da leitura das projeções estabelecidas para o ano de referência da LDO, os números mais representativos no contexto das projeções:
</a:t>
          </a:r>
          <a:r>
            <a:rPr lang="en-US" cap="none" sz="1100" b="1" i="0" u="none" baseline="0">
              <a:solidFill>
                <a:srgbClr val="000000"/>
              </a:solidFill>
            </a:rPr>
            <a:t>9.1 -</a:t>
          </a:r>
          <a:r>
            <a:rPr lang="en-US" cap="none" sz="1100" b="0" i="0" u="none" baseline="0">
              <a:solidFill>
                <a:srgbClr val="000000"/>
              </a:solidFill>
            </a:rPr>
            <a:t> A receita total estimada para o exercício de 2023, consideradas todas as fontes de recursos é de R$ ____________, a preços correntes que, deduzidas das receitas financeiras, representadas pelos Rendimentos das Aplicações Financeiras (R$___________), das resultantes de Operações de Crédito (R$_____________), das Alienações de Investimentos (R$___________) e das resultantes de Amortização de Empréstimos Concedidos (R$________________), </a:t>
          </a:r>
          <a:r>
            <a:rPr lang="en-US" cap="none" sz="1100" b="0" i="0" u="none" baseline="0">
              <a:solidFill>
                <a:srgbClr val="FF0000"/>
              </a:solidFill>
            </a:rPr>
            <a:t>e ainda a dedução das receitas intraorçamentárias</a:t>
          </a:r>
          <a:r>
            <a:rPr lang="en-US" cap="none" sz="1100" b="0" i="0" u="none" baseline="0">
              <a:solidFill>
                <a:srgbClr val="000000"/>
              </a:solidFill>
            </a:rPr>
            <a:t>,  resultam numa Receita Primária de R$ ______________. 
</a:t>
          </a:r>
          <a:r>
            <a:rPr lang="en-US" cap="none" sz="1100" b="1" i="0" u="none" baseline="0">
              <a:solidFill>
                <a:srgbClr val="000000"/>
              </a:solidFill>
            </a:rPr>
            <a:t>9.2 -</a:t>
          </a:r>
          <a:r>
            <a:rPr lang="en-US" cap="none" sz="1100" b="0" i="0" u="none" baseline="0">
              <a:solidFill>
                <a:srgbClr val="000000"/>
              </a:solidFill>
            </a:rPr>
            <a:t> As despesas do Município foram programadas segundo o comportamento previsto da receita, sendo que o maior objetivo é manter, ou ainda, ampliar a capacidade própria de investimentos, sem comprometer o equilíbrio financeiro. Assim, consideradas todas as fontes de recursos, a despesa total está prevista em R$ _________. Deduzindo-se as despesas financeiras com juros e encargos da dívida, estimadas em R$ ________, mais as despesas com Concessão de Empréstimos e Financiamentos, no valor de R$ ________, a Amortização da Dívida Publica, estimada em R$ ____________, e, </a:t>
          </a:r>
          <a:r>
            <a:rPr lang="en-US" cap="none" sz="1100" b="0" i="0" u="none" baseline="0">
              <a:solidFill>
                <a:srgbClr val="FF0000"/>
              </a:solidFill>
            </a:rPr>
            <a:t>ainda, as despesas intraorçamentárias</a:t>
          </a:r>
          <a:r>
            <a:rPr lang="en-US" cap="none" sz="1100" b="0" i="0" u="none" baseline="0">
              <a:solidFill>
                <a:srgbClr val="000000"/>
              </a:solidFill>
            </a:rPr>
            <a:t>,   tem-se que as despesas primárias para 2023 foram previstas em R$ ______________.  </a:t>
          </a:r>
          <a:r>
            <a:rPr lang="en-US" cap="none" sz="1100" b="1" i="0" u="none" baseline="0">
              <a:solidFill>
                <a:srgbClr val="000000"/>
              </a:solidFill>
            </a:rPr>
            <a:t>A tabela 02 </a:t>
          </a:r>
          <a:r>
            <a:rPr lang="en-US" cap="none" sz="1100" b="0" i="0" u="none" baseline="0">
              <a:solidFill>
                <a:srgbClr val="000000"/>
              </a:solidFill>
            </a:rPr>
            <a:t>evidencia o detalhamento das projeções da receita e despesa.
</a:t>
          </a:r>
          <a:r>
            <a:rPr lang="en-US" cap="none" sz="1100" b="1" i="0" u="none" baseline="0">
              <a:solidFill>
                <a:srgbClr val="000000"/>
              </a:solidFill>
            </a:rPr>
            <a:t>9.3 -</a:t>
          </a:r>
          <a:r>
            <a:rPr lang="en-US" cap="none" sz="1100" b="0" i="0" u="none" baseline="0">
              <a:solidFill>
                <a:srgbClr val="000000"/>
              </a:solidFill>
            </a:rPr>
            <a:t> Cotejando-se o valor previsto para as receitas e despesas primárias em valores correntes, chega-se à meta de resultado primário de 2023 que foi inicialmente prevista em R$ ______________ a qual entendemos como necessária e suficiente para preservar o equilíbrio nas contas públicas. No entanto, ressaltamos que, a depender do comportamento das variáveis macroeconômicas, ou na hipótese de frustração de arrecadação, a meta poderá ser alterada, conforme expressa previsão do art. 2º da LDO. 
</a:t>
          </a:r>
          <a:r>
            <a:rPr lang="en-US" cap="none" sz="1100" b="1" i="0" u="none" baseline="0">
              <a:solidFill>
                <a:srgbClr val="000000"/>
              </a:solidFill>
            </a:rPr>
            <a:t>10 -</a:t>
          </a:r>
          <a:r>
            <a:rPr lang="en-US" cap="none" sz="1100" b="0" i="0" u="none" baseline="0">
              <a:solidFill>
                <a:srgbClr val="000000"/>
              </a:solidFill>
            </a:rPr>
            <a:t> Em relação ao estoque da dívida, esse corresponde à posição em dezembro de cada exercício, considerando a previsão das amortizações e das liberações a serem realizadas no respectivo período, estando os valores evidenciados na </a:t>
          </a:r>
          <a:r>
            <a:rPr lang="en-US" cap="none" sz="1100" b="1" i="0" u="none" baseline="0">
              <a:solidFill>
                <a:srgbClr val="000000"/>
              </a:solidFill>
            </a:rPr>
            <a:t>Tabela 05.</a:t>
          </a: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18</xdr:row>
      <xdr:rowOff>47625</xdr:rowOff>
    </xdr:from>
    <xdr:to>
      <xdr:col>9</xdr:col>
      <xdr:colOff>409575</xdr:colOff>
      <xdr:row>22</xdr:row>
      <xdr:rowOff>57150</xdr:rowOff>
    </xdr:to>
    <xdr:sp>
      <xdr:nvSpPr>
        <xdr:cNvPr id="1" name="Rectangle 1"/>
        <xdr:cNvSpPr>
          <a:spLocks/>
        </xdr:cNvSpPr>
      </xdr:nvSpPr>
      <xdr:spPr>
        <a:xfrm>
          <a:off x="200025" y="3609975"/>
          <a:ext cx="9105900" cy="6762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Este demonstrativo foi elaborado pelo Poder Executivo Municipal para fins de dar maior transparência à meta de Resultado Primário, possibilitando o acompanhamento individualizado do resultado primário do Tesouro Municipal e do  Regime Próprio de Previdência, bem como auxiliar na avaliação do cumprimento das metas fiscais. A metodologia e os conceitos são idênticos aos utilizados para a elaboração do anexo de metas fiscais  (consolidado).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21</xdr:row>
      <xdr:rowOff>152400</xdr:rowOff>
    </xdr:from>
    <xdr:to>
      <xdr:col>9</xdr:col>
      <xdr:colOff>0</xdr:colOff>
      <xdr:row>50</xdr:row>
      <xdr:rowOff>95250</xdr:rowOff>
    </xdr:to>
    <xdr:sp>
      <xdr:nvSpPr>
        <xdr:cNvPr id="1" name="Rectangle 1"/>
        <xdr:cNvSpPr>
          <a:spLocks/>
        </xdr:cNvSpPr>
      </xdr:nvSpPr>
      <xdr:spPr>
        <a:xfrm>
          <a:off x="85725" y="4219575"/>
          <a:ext cx="8677275" cy="463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objetivo deste demonstrativo é estabelecer uma comparação entre as metas fixadas e o resultado obtido no exercício anterior ao da edição da LDO (2021), incluindo análise dos fatores determinantes para o alcance ou não dos valores estabelecidos como metas, visando a atender o disposto no art. 4º, </a:t>
          </a:r>
          <a:r>
            <a:rPr lang="en-US" cap="none" sz="1100" b="0" i="0" u="none" baseline="0">
              <a:solidFill>
                <a:srgbClr val="000000"/>
              </a:solidFill>
            </a:rPr>
            <a:t>§</a:t>
          </a:r>
          <a:r>
            <a:rPr lang="en-US" cap="none" sz="1100" b="0" i="0" u="none" baseline="0">
              <a:solidFill>
                <a:srgbClr val="000000"/>
              </a:solidFill>
            </a:rPr>
            <a:t> 2º, inciso I da LRF.
</a:t>
          </a:r>
          <a:r>
            <a:rPr lang="en-US" cap="none" sz="1100" b="0" i="0" u="none" baseline="0">
              <a:solidFill>
                <a:srgbClr val="000000"/>
              </a:solidFill>
            </a:rPr>
            <a:t> 
</a:t>
          </a:r>
          <a:r>
            <a:rPr lang="en-US" cap="none" sz="1100" b="0" i="0" u="none" baseline="0">
              <a:solidFill>
                <a:srgbClr val="000000"/>
              </a:solidFill>
            </a:rPr>
            <a:t>Assim, conforme demonstrado em audiência pública de avaliação das metas fiscais relativas ao terceiro quadrimestre do exercício financeiro de 2021 (art. 9º, </a:t>
          </a:r>
          <a:r>
            <a:rPr lang="en-US" cap="none" sz="1100" b="0" i="0" u="none" baseline="0">
              <a:solidFill>
                <a:srgbClr val="000000"/>
              </a:solidFill>
            </a:rPr>
            <a:t>§</a:t>
          </a:r>
          <a:r>
            <a:rPr lang="en-US" cap="none" sz="1100" b="0" i="0" u="none" baseline="0">
              <a:solidFill>
                <a:srgbClr val="000000"/>
              </a:solidFill>
            </a:rPr>
            <a:t> 4º da LRF), o resultado primário,  ficou em R$ 732.197,43, valor______% &lt;&lt;  inferior &gt;&gt; à meta estabelecida para o ano, que era de R$ 5.797.498,65. O desempenho verificado demonstra que o ingresso das receitas primárias (não financeiras) &lt;&lt; não foi &gt;&gt; capaz de suportar o total das despesas primárias (não financeiras) do exercício.
</a:t>
          </a:r>
          <a:r>
            <a:rPr lang="en-US" cap="none" sz="1100" b="0" i="0" u="none" baseline="0">
              <a:solidFill>
                <a:srgbClr val="000000"/>
              </a:solidFill>
            </a:rPr>
            <a:t> 
</a:t>
          </a:r>
          <a:r>
            <a:rPr lang="en-US" cap="none" sz="1100" b="0" i="0" u="none" baseline="0">
              <a:solidFill>
                <a:srgbClr val="000000"/>
              </a:solidFill>
            </a:rPr>
            <a:t>As receitas não financeiras totalizaram R$ ______________, &lt;&lt; superando / frustrando &gt;&gt; em _____% a projeção para o período de R$ _____________. As despesas não financeiras atingiram R$ _______________,  estabelecendo-se  _______%  &lt;&lt; acima / abaixo &gt;&gt;  da previsão orçamentária. Não obstante a sua &lt;&lt; expansão / retração &gt;&gt;, corresponderam a ________ % do total das receitas primárias &lt;&lt; comprometendo /  não comprometendo &gt;&gt; , dessa forma, a obtenção do superávit primário.
</a:t>
          </a:r>
          <a:r>
            <a:rPr lang="en-US" cap="none" sz="1100" b="0" i="0" u="none" baseline="0">
              <a:solidFill>
                <a:srgbClr val="000000"/>
              </a:solidFill>
            </a:rPr>
            <a:t> 
</a:t>
          </a:r>
          <a:r>
            <a:rPr lang="en-US" cap="none" sz="1100" b="0" i="0" u="none" baseline="0">
              <a:solidFill>
                <a:srgbClr val="000000"/>
              </a:solidFill>
            </a:rPr>
            <a:t>Em parte, esse resultado é em decorrência do desempenho &lt;&lt; favorável / desfavorável &gt;&gt; apresentado pela receita, tendo sido fortemente condicionado pelo comportamento das receitas correntes, que apresentaram um &lt;&lt; incremento / déficit &gt;&gt; de ______% em relação ao valor consignado no orçamento. Destaca-se no exercício de 2021 o desempenho dos grupos de receita tributária, patrimonial e de transferências correntes, que &lt;&lt; superaram / frustraram &gt;&gt; a expectativa, respectivamente, em _____%,  ______% e  ________. 
</a:t>
          </a:r>
          <a:r>
            <a:rPr lang="en-US" cap="none" sz="1100" b="0" i="0" u="none" baseline="0">
              <a:solidFill>
                <a:srgbClr val="000000"/>
              </a:solidFill>
            </a:rPr>
            <a:t> 
</a:t>
          </a:r>
          <a:r>
            <a:rPr lang="en-US" cap="none" sz="1100" b="0" i="0" u="none" baseline="0">
              <a:solidFill>
                <a:srgbClr val="000000"/>
              </a:solidFill>
            </a:rPr>
            <a:t>A dívida consolidada totalizou R$ ____________, valor _______% &lt;&lt; inferior / superior &gt;&gt; ao saldo de R$ ______________ estimado para o exercício. Tal comportamento é reflexo do &lt;&lt; aumento / diminuição &gt;&gt; dos desembolsos da amortização da dívida que totalizou em 2021 R$  ____________, valor ______% &lt;&lt; maior  / menor &gt;&gt; que a projeção consignada na Lei do Orçamento de R$ ___________. 
</a:t>
          </a:r>
          <a:r>
            <a:rPr lang="en-US" cap="none" sz="1100" b="0" i="0" u="none" baseline="0">
              <a:solidFill>
                <a:srgbClr val="000000"/>
              </a:solidFill>
            </a:rPr>
            <a:t> 
</a:t>
          </a:r>
          <a:r>
            <a:rPr lang="en-US" cap="none" sz="1100" b="0" i="0" u="none" baseline="0">
              <a:solidFill>
                <a:srgbClr val="000000"/>
              </a:solidFill>
            </a:rPr>
            <a:t>No anexo de metas fiscais, que acompanhou a LDO para 2021, estipulou-se o montante da dívida fiscal líquida em R$ ___________. Contudo, os resultados efetivamente apurados e especificados no Relatório Resumido de Execução Orçamentária, e avaliados ao final daquele exercício apontam que o estoque da dívida, atualizado em dezembro daquele ano era de R$ ____________ que, comparado com o montante apurado ao final  do ano anterior (2020,) apresentou um &lt;&lt; acréscimo&gt;&gt;  &lt;&lt;decréscimo&gt;&gt; de R$ ______________, valor este, que, de acordo com os conceitos estabelecidos no Manual dos Demonstrativos Fiscais, representa o Resultado Nominal pelo criterio Abaixo da Linha.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30</xdr:row>
      <xdr:rowOff>19050</xdr:rowOff>
    </xdr:from>
    <xdr:to>
      <xdr:col>11</xdr:col>
      <xdr:colOff>304800</xdr:colOff>
      <xdr:row>42</xdr:row>
      <xdr:rowOff>66675</xdr:rowOff>
    </xdr:to>
    <xdr:sp>
      <xdr:nvSpPr>
        <xdr:cNvPr id="1" name="Rectangle 1"/>
        <xdr:cNvSpPr>
          <a:spLocks/>
        </xdr:cNvSpPr>
      </xdr:nvSpPr>
      <xdr:spPr>
        <a:xfrm>
          <a:off x="266700" y="5105400"/>
          <a:ext cx="10239375" cy="1990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Conforme o Manualç dos DEmonstrativos Fiscais da STN, o objetivo do Demonstrativo é </a:t>
          </a:r>
          <a:r>
            <a:rPr lang="en-US" cap="none" sz="1100" b="1" i="0" u="none" baseline="0">
              <a:solidFill>
                <a:srgbClr val="000000"/>
              </a:solidFill>
            </a:rPr>
            <a:t>dar transparência às </a:t>
          </a:r>
          <a:r>
            <a:rPr lang="en-US" cap="none" sz="1100" b="0" i="0" u="none" baseline="0">
              <a:solidFill>
                <a:srgbClr val="000000"/>
              </a:solidFill>
            </a:rPr>
            <a:t>informações sobre as metas fiscais dos três exercícios anteriores e dos três exercícios seguintes, para uma melhor avaliação da política fiscal , de forma a permitir a análise da política fiscal em uma linha do tempo, combinando execução passada e
</a:t>
          </a:r>
          <a:r>
            <a:rPr lang="en-US" cap="none" sz="1100" b="0" i="0" u="none" baseline="0">
              <a:solidFill>
                <a:srgbClr val="000000"/>
              </a:solidFill>
            </a:rPr>
            <a:t>perspectivas futuras, validando a consistência dessas últimas.  Assim, são demonstradas </a:t>
          </a:r>
          <a:r>
            <a:rPr lang="en-US" cap="none" sz="1000" b="0" i="0" u="none" baseline="0">
              <a:solidFill>
                <a:srgbClr val="000000"/>
              </a:solidFill>
              <a:latin typeface="Arial"/>
              <a:ea typeface="Arial"/>
              <a:cs typeface="Arial"/>
            </a:rPr>
            <a:t>as metas fiscais previstas para o exercício da LDO (2023), em comparação com as estabelecidas para os três exercícios anteriores  (2020, 2021 e 2022), bem como para os dois seguintes (2024 e 2025), referentes à Receita Total, Receitas Não Financeiras, Despesas Não Financeiras, Resultado Primário, Resultado Nominal, Dívida Pública Consolidada e Dívida Consolidada Líquida, cumprindo, assim,  a disposição contida no art. 4º,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2º, inciso II, da LRF.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valores relativos às previsões de Receitas, Despesas e Resultado Primário de 2020, 2021 e 2022 foram atualizados pelas respectivas Leis Orçamentárias Anuais. Já os valores da previsão do Resultado Nominal, Dívida Consolidada e Dívida Consolidada Líquida, foram extraídos dos anexos de metas fiscais das respectivas LDO.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Já em relação às previsões para os exercícios de 2023, 2024 e 2025, os valores, a metodologia, as premissas utilizadas e a respectiva memória de cálculo são as mesmas utilizadas para o estabelecimento das metas explicitadas no Demonstrativo 1 - de Metas Anuais, evidenciando assim a sua consistência.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66675</xdr:rowOff>
    </xdr:from>
    <xdr:to>
      <xdr:col>6</xdr:col>
      <xdr:colOff>647700</xdr:colOff>
      <xdr:row>61</xdr:row>
      <xdr:rowOff>47625</xdr:rowOff>
    </xdr:to>
    <xdr:sp>
      <xdr:nvSpPr>
        <xdr:cNvPr id="1" name="Rectangle 1"/>
        <xdr:cNvSpPr>
          <a:spLocks/>
        </xdr:cNvSpPr>
      </xdr:nvSpPr>
      <xdr:spPr>
        <a:xfrm>
          <a:off x="142875" y="6438900"/>
          <a:ext cx="6934200" cy="500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rPr>
            <a:t>O presente demonstrativo visa a demonstrar a evolução do Patrimônio Líquido nos três exercícios anteriores ao da edição da LDO (2019, 2020 e 2021), para fins do disposto no art. 4º, </a:t>
          </a:r>
          <a:r>
            <a:rPr lang="en-US" cap="none" sz="1100" b="0" i="0" u="none" baseline="0">
              <a:solidFill>
                <a:srgbClr val="000000"/>
              </a:solidFill>
            </a:rPr>
            <a:t>§</a:t>
          </a:r>
          <a:r>
            <a:rPr lang="en-US" cap="none" sz="1100" b="0" i="0" u="none" baseline="0">
              <a:solidFill>
                <a:srgbClr val="000000"/>
              </a:solidFill>
            </a:rPr>
            <a:t> 2º, inciso III, da LRF.
</a:t>
          </a:r>
          <a:r>
            <a:rPr lang="en-US" cap="none" sz="1100" b="0" i="0" u="none" baseline="0">
              <a:solidFill>
                <a:srgbClr val="000000"/>
              </a:solidFill>
            </a:rPr>
            <a:t> 
</a:t>
          </a:r>
          <a:r>
            <a:rPr lang="en-US" cap="none" sz="1100" b="0" i="0" u="none" baseline="0">
              <a:solidFill>
                <a:srgbClr val="000000"/>
              </a:solidFill>
            </a:rPr>
            <a:t>Conforme estabelecido pelo Manual de Contabilidade Aplicada ao Setor  Público, o Patrimônio Líquido  representa o valor residual dos ativos da entidade depois de deduzidos todos seus passivos. Integram o Patrimônio Líquido o patrimônio (no caso dos órgãos da administração direta) ou capital social (no caso das empresas estatais), as reservas de capital, os ajustes de avaliação patrimonial, as reservas de lucros, as ações em tesouraria, os resultados acumulados e outros desdobramentos do saldo patrimonial.  Nesse aspecto, cumpre destacar que, na linha “Resultado Acumulado”, </a:t>
          </a:r>
          <a:r>
            <a:rPr lang="en-US" cap="none" sz="1100" b="1" i="0" u="none" baseline="0">
              <a:solidFill>
                <a:srgbClr val="000000"/>
              </a:solidFill>
            </a:rPr>
            <a:t>foram considerados os valores de ajustes de exercícios anteriores</a:t>
          </a:r>
          <a:r>
            <a:rPr lang="en-US" cap="none" sz="1100" b="0" i="0" u="none" baseline="0">
              <a:solidFill>
                <a:srgbClr val="000000"/>
              </a:solidFill>
            </a:rPr>
            <a:t>, os quais, apesar de não terem sido considerados na apuração do resultado do exercício, tiveram influência da variação do saldo do Patrimônio Líquido.
</a:t>
          </a:r>
          <a:r>
            <a:rPr lang="en-US" cap="none" sz="1100" b="0" i="0" u="none" baseline="0">
              <a:solidFill>
                <a:srgbClr val="000000"/>
              </a:solidFill>
            </a:rPr>
            <a:t> 
</a:t>
          </a:r>
          <a:r>
            <a:rPr lang="en-US" cap="none" sz="1100" b="0" i="0" u="none" baseline="0">
              <a:solidFill>
                <a:srgbClr val="000000"/>
              </a:solidFill>
            </a:rPr>
            <a:t> É preciso enfatizar que a Administrão</a:t>
          </a:r>
          <a:r>
            <a:rPr lang="en-US" cap="none" sz="1100" b="0" i="0" u="none" baseline="0">
              <a:solidFill>
                <a:srgbClr val="000000"/>
              </a:solidFill>
            </a:rPr>
            <a:t> Direta d</a:t>
          </a:r>
          <a:r>
            <a:rPr lang="en-US" cap="none" sz="1100" b="0" i="0" u="none" baseline="0">
              <a:solidFill>
                <a:srgbClr val="000000"/>
              </a:solidFill>
            </a:rPr>
            <a:t>o Município, bem como</a:t>
          </a:r>
          <a:r>
            <a:rPr lang="en-US" cap="none" sz="1100" b="0" i="0" u="none" baseline="0">
              <a:solidFill>
                <a:srgbClr val="000000"/>
              </a:solidFill>
            </a:rPr>
            <a:t> as Autarquias e as Fundações Públicas, </a:t>
          </a:r>
          <a:r>
            <a:rPr lang="en-US" cap="none" sz="1100" b="0" i="0" u="none" baseline="0">
              <a:solidFill>
                <a:srgbClr val="000000"/>
              </a:solidFill>
            </a:rPr>
            <a:t> seguem as normas da Lei Federal nº  4.320/64, não apresentando no seu balanço as nomenclaturas previstas na Lei Federal nº 6.404/76. Assim, em vez de "Resultado Acumulado", o Município utiliza a nomenclatura de "Superávit ou Déficit do Exercício".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O Sistema de Previdência, por força da Lei Municipal nº __________, está sobre a gestão do Fundo _____________, sendo que seus registros contábeis estão em conformidade com as Normas do Ministério da Previdência Social e apartados das demais contas do Município.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Em termos consolidados, a evolução do Patrimônio Líquido do Município, nos últimos três exercícios, demonstrada para o período de 2019 a 2021, aponta que o saldo patrimonial &lt;&lt; aumentou / decresceu &gt;&gt; de R$  ____________ em 31.12.2019 para R$ _____________ em 31.12.2021.   
</a:t>
          </a:r>
          <a:r>
            <a:rPr lang="en-US" cap="none" sz="1100" b="0" i="0" u="none" baseline="0">
              <a:solidFill>
                <a:srgbClr val="000000"/>
              </a:solidFill>
            </a:rPr>
            <a:t> 
</a:t>
          </a:r>
          <a:r>
            <a:rPr lang="en-US" cap="none" sz="1100" b="0" i="0" u="none" baseline="0">
              <a:solidFill>
                <a:srgbClr val="000000"/>
              </a:solidFill>
            </a:rPr>
            <a:t>Ainda, conforme pode ser observado, o Município encerrou as contas de 2021 com &lt;&lt; superavit / déficit &gt;&gt; patrimonial, cujo principal fator foi   ___________________________________.
</a:t>
          </a:r>
          <a:r>
            <a:rPr lang="en-US" cap="none" sz="1100" b="0" i="0" u="none" baseline="0">
              <a:solidFill>
                <a:srgbClr val="00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32</xdr:row>
      <xdr:rowOff>152400</xdr:rowOff>
    </xdr:from>
    <xdr:to>
      <xdr:col>3</xdr:col>
      <xdr:colOff>914400</xdr:colOff>
      <xdr:row>39</xdr:row>
      <xdr:rowOff>142875</xdr:rowOff>
    </xdr:to>
    <xdr:sp>
      <xdr:nvSpPr>
        <xdr:cNvPr id="1" name="Rectangle 1"/>
        <xdr:cNvSpPr>
          <a:spLocks/>
        </xdr:cNvSpPr>
      </xdr:nvSpPr>
      <xdr:spPr>
        <a:xfrm>
          <a:off x="114300" y="6505575"/>
          <a:ext cx="6086475" cy="1143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 demonstrativo acima tem por objetivo destacar as origens e as aplicações dos recursos obtidos, pelo Município, com a alienação de ativos, ocorridos nos 3 exercícios anteriores ao da edição da LDO  (2019,  2020 e 2021).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Os dados apresentados permitem afirmar que o Município tem aplicado corretamente os recursos obtidos, na forma prescrita pelo art. 44 da Lei de Responsabilidade Fiscal que prescreve que "é vedada a aplicação da receita de capital derivada da alienação de bens e direitos que integram o patrimônio público para o financiamento de despesa corrente, salvo se destinada por lei aos regimes de previdência, geral e próprio dos servidores públicos."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244</xdr:row>
      <xdr:rowOff>76200</xdr:rowOff>
    </xdr:from>
    <xdr:to>
      <xdr:col>15</xdr:col>
      <xdr:colOff>819150</xdr:colOff>
      <xdr:row>266</xdr:row>
      <xdr:rowOff>76200</xdr:rowOff>
    </xdr:to>
    <xdr:sp>
      <xdr:nvSpPr>
        <xdr:cNvPr id="1" name="Rectangle 1"/>
        <xdr:cNvSpPr>
          <a:spLocks/>
        </xdr:cNvSpPr>
      </xdr:nvSpPr>
      <xdr:spPr>
        <a:xfrm>
          <a:off x="0" y="25174575"/>
          <a:ext cx="6372225" cy="3571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Este demonstrativo, visa a atender o estabelecido no art. 4</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 2</a:t>
          </a:r>
          <a:r>
            <a:rPr lang="en-US" cap="none" sz="1000" b="0" i="0" u="none" baseline="0">
              <a:solidFill>
                <a:srgbClr val="000000"/>
              </a:solidFill>
            </a:rPr>
            <a:t>°</a:t>
          </a:r>
          <a:r>
            <a:rPr lang="en-US" cap="none" sz="1000" b="0" i="0" u="none" baseline="0">
              <a:solidFill>
                <a:srgbClr val="000000"/>
              </a:solidFill>
            </a:rPr>
            <a:t>, inciso IV, alínea “a”, da Lei de Responsabilidade Fiscal – LRF, o qual determina que o Anexo de Metas Fiscais conterá a avaliação da situação financeira e atuarial do Regime Próprio de Previdência dos Servidores – RPPS.</a:t>
          </a:r>
          <a:r>
            <a:rPr lang="en-US" cap="none" sz="1100" b="0" i="0" u="none" baseline="0">
              <a:solidFill>
                <a:srgbClr val="000000"/>
              </a:solidFill>
            </a:rPr>
            <a:t>O objetivo principal é dar transparência à situação financeira e atuarial do RPPS para uma melhor avaliação do seu impacto nas metas fiscais fixadas, além de orientar a elaboração da LOA.</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Segundo a Portaria MPS 464/2018, o equilíbrio financeiro representa a garantia de equivalência entre as receitas auferidas e as obrigações dos RPPS, em cada exercício financeiro, ou seja, o equilíbrio financeiro é atingido quando o que se arrecada dos participantes do sistema previdenciário é suficiente para custear os benefícios por ele assegurados. 
</a:t>
          </a:r>
          <a:r>
            <a:rPr lang="en-US" cap="none" sz="1000" b="0" i="0" u="none" baseline="0">
              <a:solidFill>
                <a:srgbClr val="000000"/>
              </a:solidFill>
            </a:rPr>
            <a:t> 
</a:t>
          </a:r>
          <a:r>
            <a:rPr lang="en-US" cap="none" sz="1000" b="0" i="0" u="none" baseline="0">
              <a:solidFill>
                <a:srgbClr val="000000"/>
              </a:solidFill>
            </a:rPr>
            <a:t>O equilíbrio atuarial, por sua vez, representa a garantia de equivalência, a valor presente, entre o fluxo das receitas estimadas e das obrigações projetadas, apuradas atuarialmente, a longo prazo, devendo as alíquotas de contribuição do sistema ser definidas a partir do cálculo atuarial que leve em consideração uma série de critérios, como a expectativa de vida dos segurados e o valor dos benefícios de responsabilidade do respectivo RPPS, segundo a sua legislação.
</a:t>
          </a:r>
          <a:r>
            <a:rPr lang="en-US" cap="none" sz="1000" b="0" i="0" u="none" baseline="0">
              <a:solidFill>
                <a:srgbClr val="000000"/>
              </a:solidFill>
            </a:rPr>
            <a:t> 
</a:t>
          </a:r>
          <a:r>
            <a:rPr lang="en-US" cap="none" sz="1000" b="0" i="0" u="none" baseline="0">
              <a:solidFill>
                <a:srgbClr val="000000"/>
              </a:solidFill>
            </a:rPr>
            <a:t>Nesse contexto, os dados acima apresentados tiveram em como base:
</a:t>
          </a:r>
          <a:r>
            <a:rPr lang="en-US" cap="none" sz="1000" b="0" i="0" u="none" baseline="0">
              <a:solidFill>
                <a:srgbClr val="000000"/>
              </a:solidFill>
            </a:rPr>
            <a:t>a) o Anexo 4 do Relatório Resumido da Execução Orçamentária (RGF) - Demonstrativo das Receitas e Despesas Previdenciárias do Regime Próprio de Previdência dos Servidores, publicado no último bimestre dos exercícios de 2019, 2021 e 2021; e
</a:t>
          </a:r>
          <a:r>
            <a:rPr lang="en-US" cap="none" sz="1000" b="0" i="0" u="none" baseline="0">
              <a:solidFill>
                <a:srgbClr val="000000"/>
              </a:solidFill>
            </a:rPr>
            <a:t>b) o Anexo 10 do Relatório Resumido da Execução Orçamentária (RREO) - Demonstrativo da Projeção Atuarial do Regime de Previdência, publicado no último bimestre do exercício de 2021.
</a:t>
          </a:r>
          <a:r>
            <a:rPr lang="en-US" cap="none" sz="10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DO%202023\Anexos%20da%20LDO%20-%202023-710%20ESTUDOS%20Retificad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âmetros"/>
      <sheetName val="Projeções"/>
      <sheetName val="RCL"/>
      <sheetName val="Pessoal"/>
      <sheetName val="Dívida"/>
      <sheetName val="RPrim-Nom"/>
      <sheetName val="Metas Cons"/>
      <sheetName val="MetasRPPS"/>
      <sheetName val=" Avaliação"/>
      <sheetName val="Comparação"/>
      <sheetName val=" Patrimônio"/>
      <sheetName val=" Alienação"/>
      <sheetName val="RPPS-Fin-Atuarial"/>
      <sheetName val="Renúncia"/>
      <sheetName val="DOCC"/>
      <sheetName val="Anexo Riscos"/>
      <sheetName val="Anexo III - Metas e Prioridades"/>
      <sheetName val="Anexo IV - Cons do Patrimônio"/>
      <sheetName val="Obras"/>
      <sheetName val="Plan2"/>
      <sheetName val="ANEXO_I"/>
      <sheetName val="Repart"/>
      <sheetName val="Calc_Duodéc"/>
      <sheetName val="RCL_PASEP"/>
      <sheetName val="Estud_Rec"/>
      <sheetName val="Plan1"/>
      <sheetName val="Plan3"/>
    </sheetNames>
    <sheetDataSet>
      <sheetData sheetId="0">
        <row r="7">
          <cell r="A7" t="str">
            <v>Município de : Caçapava do Sul / RS.</v>
          </cell>
        </row>
        <row r="10">
          <cell r="E10">
            <v>2023</v>
          </cell>
          <cell r="F10">
            <v>2024</v>
          </cell>
          <cell r="G10">
            <v>2025</v>
          </cell>
        </row>
        <row r="11">
          <cell r="F11">
            <v>0.032</v>
          </cell>
          <cell r="G11">
            <v>0.03</v>
          </cell>
        </row>
        <row r="13">
          <cell r="F13">
            <v>0.026152491746455925</v>
          </cell>
          <cell r="G13">
            <v>0.01863742516369175</v>
          </cell>
        </row>
        <row r="18">
          <cell r="F18">
            <v>0.047</v>
          </cell>
        </row>
        <row r="19">
          <cell r="G19">
            <v>0.047</v>
          </cell>
        </row>
      </sheetData>
      <sheetData sheetId="2">
        <row r="17">
          <cell r="B17">
            <v>143261307.43302366</v>
          </cell>
          <cell r="C17">
            <v>147944567.8073798</v>
          </cell>
          <cell r="D17">
            <v>153264701.22182423</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Plan7"/>
  <dimension ref="A7:J31"/>
  <sheetViews>
    <sheetView showGridLines="0" zoomScaleSheetLayoutView="70" zoomScalePageLayoutView="0" workbookViewId="0" topLeftCell="A7">
      <selection activeCell="E22" sqref="E22"/>
    </sheetView>
  </sheetViews>
  <sheetFormatPr defaultColWidth="8.8515625" defaultRowHeight="12.75"/>
  <cols>
    <col min="1" max="1" width="53.57421875" style="30" customWidth="1"/>
    <col min="2" max="2" width="13.8515625" style="30" customWidth="1"/>
    <col min="3" max="3" width="13.57421875" style="30" customWidth="1"/>
    <col min="4" max="4" width="13.00390625" style="30" customWidth="1"/>
    <col min="5" max="5" width="14.57421875" style="30" customWidth="1"/>
    <col min="6" max="6" width="15.8515625" style="30" customWidth="1"/>
    <col min="7" max="7" width="15.140625" style="30" customWidth="1"/>
    <col min="8" max="16384" width="8.8515625" style="30" customWidth="1"/>
  </cols>
  <sheetData>
    <row r="1" ht="12" hidden="1"/>
    <row r="2" ht="12" hidden="1"/>
    <row r="3" ht="12" hidden="1"/>
    <row r="4" ht="12" hidden="1"/>
    <row r="5" ht="12" hidden="1"/>
    <row r="6" ht="15.75" customHeight="1" hidden="1"/>
    <row r="7" spans="1:10" ht="12">
      <c r="A7" s="630" t="s">
        <v>643</v>
      </c>
      <c r="B7" s="631"/>
      <c r="C7" s="631"/>
      <c r="D7" s="631"/>
      <c r="E7" s="631"/>
      <c r="F7" s="631"/>
      <c r="G7" s="631"/>
      <c r="H7" s="631"/>
      <c r="I7" s="631"/>
      <c r="J7" s="632"/>
    </row>
    <row r="8" spans="1:10" ht="12">
      <c r="A8" s="633" t="s">
        <v>608</v>
      </c>
      <c r="B8" s="631"/>
      <c r="C8" s="631"/>
      <c r="D8" s="631"/>
      <c r="E8" s="631"/>
      <c r="F8" s="631"/>
      <c r="G8" s="631"/>
      <c r="H8" s="631"/>
      <c r="I8" s="631"/>
      <c r="J8" s="632"/>
    </row>
    <row r="9" spans="1:10" ht="21" customHeight="1">
      <c r="A9" s="634" t="s">
        <v>538</v>
      </c>
      <c r="B9" s="635"/>
      <c r="C9" s="635"/>
      <c r="D9" s="635"/>
      <c r="E9" s="635"/>
      <c r="F9" s="635"/>
      <c r="G9" s="635"/>
      <c r="H9" s="636"/>
      <c r="I9" s="636"/>
      <c r="J9" s="637"/>
    </row>
    <row r="10" spans="1:10" ht="25.5" customHeight="1">
      <c r="A10" s="236" t="s">
        <v>418</v>
      </c>
      <c r="B10" s="236">
        <v>2020</v>
      </c>
      <c r="C10" s="236">
        <f>B10+1</f>
        <v>2021</v>
      </c>
      <c r="D10" s="236">
        <f>C10+1</f>
        <v>2022</v>
      </c>
      <c r="E10" s="236">
        <f>D10+1</f>
        <v>2023</v>
      </c>
      <c r="F10" s="236">
        <f>E10+1</f>
        <v>2024</v>
      </c>
      <c r="G10" s="236">
        <f>F10+1</f>
        <v>2025</v>
      </c>
      <c r="H10" s="38"/>
      <c r="I10" s="38"/>
      <c r="J10" s="38"/>
    </row>
    <row r="11" spans="1:7" ht="12.75">
      <c r="A11" s="237" t="s">
        <v>123</v>
      </c>
      <c r="B11" s="238">
        <v>0.0452</v>
      </c>
      <c r="C11" s="239">
        <v>0.1006</v>
      </c>
      <c r="D11" s="239">
        <v>0.0789</v>
      </c>
      <c r="E11" s="245">
        <v>0.041</v>
      </c>
      <c r="F11" s="245">
        <v>0.032</v>
      </c>
      <c r="G11" s="245">
        <v>0.03</v>
      </c>
    </row>
    <row r="12" spans="1:7" ht="12.75">
      <c r="A12" s="237" t="s">
        <v>124</v>
      </c>
      <c r="B12" s="238">
        <v>-0.039</v>
      </c>
      <c r="C12" s="239">
        <v>0.046</v>
      </c>
      <c r="D12" s="239">
        <v>0.007</v>
      </c>
      <c r="E12" s="245">
        <v>0.01</v>
      </c>
      <c r="F12" s="245">
        <v>0.02</v>
      </c>
      <c r="G12" s="245">
        <v>0.02</v>
      </c>
    </row>
    <row r="13" spans="1:7" ht="12.75">
      <c r="A13" s="240" t="s">
        <v>125</v>
      </c>
      <c r="B13" s="297">
        <f>IF(Projeções!D119=0,"0",((Projeções!E119/Projeções!D119)-1)-B11-B18)</f>
        <v>-0.017328300437296745</v>
      </c>
      <c r="C13" s="297">
        <f>IF(Projeções!E119=0,"0",((Projeções!F119/Projeções!E119)-1)-C11-C18)</f>
        <v>0.04869769149474845</v>
      </c>
      <c r="D13" s="297">
        <f>IF(Projeções!F119=0,"0",((Projeções!G119/Projeções!F119)-1)-D11-D18)</f>
        <v>0.014477490044101565</v>
      </c>
      <c r="E13" s="239">
        <f aca="true" t="shared" si="0" ref="E13:G20">(B13+C13+D13)/3</f>
        <v>0.015282293700517757</v>
      </c>
      <c r="F13" s="239">
        <f t="shared" si="0"/>
        <v>0.026152491746455925</v>
      </c>
      <c r="G13" s="239">
        <f t="shared" si="0"/>
        <v>0.01863742516369175</v>
      </c>
    </row>
    <row r="14" spans="1:7" ht="12.75">
      <c r="A14" s="242" t="s">
        <v>126</v>
      </c>
      <c r="B14" s="297">
        <f>IF(Projeções!D131=0,"0",((Projeções!E131/Projeções!D131)-1)-B11-B12)</f>
        <v>-0.03857173344687182</v>
      </c>
      <c r="C14" s="297">
        <f>IF(Projeções!E131=0,"0",((Projeções!F131/Projeções!E131)-1)-C11-C12)</f>
        <v>0.12926980521518666</v>
      </c>
      <c r="D14" s="297">
        <f>IF(Projeções!F131=0,"0",((Projeções!G131/Projeções!F131)-1)-D11-D12)</f>
        <v>-0.17348207903489302</v>
      </c>
      <c r="E14" s="239">
        <f t="shared" si="0"/>
        <v>-0.02759466908885939</v>
      </c>
      <c r="F14" s="239">
        <f t="shared" si="0"/>
        <v>-0.023935647636188582</v>
      </c>
      <c r="G14" s="239">
        <f t="shared" si="0"/>
        <v>-0.07500413191998033</v>
      </c>
    </row>
    <row r="15" spans="1:7" ht="12.75">
      <c r="A15" s="242" t="s">
        <v>127</v>
      </c>
      <c r="B15" s="297">
        <f>IF(Projeções!D9=0,"0",((Projeções!E9/Projeções!D9)-1)-B11-B12)</f>
        <v>-0.16875556962794402</v>
      </c>
      <c r="C15" s="297">
        <f>IF(Projeções!E9=0,"0",((Projeções!F9/Projeções!E9)-1)-C11-C12)</f>
        <v>0.26160443544595663</v>
      </c>
      <c r="D15" s="297">
        <f>IF(Projeções!F9=0,"0",((Projeções!G9/Projeções!F9)-1)-D11-D12)</f>
        <v>-0.15326911356927744</v>
      </c>
      <c r="E15" s="239">
        <f t="shared" si="0"/>
        <v>-0.020140082583754947</v>
      </c>
      <c r="F15" s="239">
        <f t="shared" si="0"/>
        <v>0.02939841309764141</v>
      </c>
      <c r="G15" s="239">
        <f t="shared" si="0"/>
        <v>-0.04800359435179699</v>
      </c>
    </row>
    <row r="16" spans="1:7" ht="12.75">
      <c r="A16" s="242" t="s">
        <v>355</v>
      </c>
      <c r="B16" s="297">
        <f>IF(Projeções!D40=0,"0",((Projeções!E40/Projeções!D40)-1)-B11-B12)</f>
        <v>0.21328406212130235</v>
      </c>
      <c r="C16" s="297">
        <f>IF(Projeções!E40=0,"0",((Projeções!F40/Projeções!E40)-1)-C11-C12)</f>
        <v>-0.1456166571247845</v>
      </c>
      <c r="D16" s="297">
        <f>IF(Projeções!F40=0,"0",((Projeções!G40/Projeções!F40)-1)-D11-D12)</f>
        <v>0.09644316888251922</v>
      </c>
      <c r="E16" s="239">
        <f t="shared" si="0"/>
        <v>0.054703524626345694</v>
      </c>
      <c r="F16" s="239">
        <f t="shared" si="0"/>
        <v>0.0018433454613601384</v>
      </c>
      <c r="G16" s="239">
        <f t="shared" si="0"/>
        <v>0.050996679656741685</v>
      </c>
    </row>
    <row r="17" spans="1:7" ht="12.75">
      <c r="A17" s="242" t="s">
        <v>356</v>
      </c>
      <c r="B17" s="297">
        <f>IF(Projeções!D52=0,"0",((Projeções!E52/Projeções!D52)-1)-B11-B12)</f>
        <v>0.007753396666207987</v>
      </c>
      <c r="C17" s="297">
        <f>IF(Projeções!E52=0,"0",((Projeções!F52/Projeções!E52)-1)-C11-C12)</f>
        <v>0.08590492015164937</v>
      </c>
      <c r="D17" s="297">
        <f>IF(Projeções!F52=0,"0",((Projeções!G52/Projeções!F52)-1)-D11-D12)</f>
        <v>-0.12292607432594918</v>
      </c>
      <c r="E17" s="239">
        <f t="shared" si="0"/>
        <v>-0.009755919169363941</v>
      </c>
      <c r="F17" s="239">
        <f t="shared" si="0"/>
        <v>-0.01559235778122125</v>
      </c>
      <c r="G17" s="239">
        <f t="shared" si="0"/>
        <v>-0.04942478375884479</v>
      </c>
    </row>
    <row r="18" spans="1:7" ht="12.75">
      <c r="A18" s="237" t="s">
        <v>357</v>
      </c>
      <c r="B18" s="246">
        <v>0.0448</v>
      </c>
      <c r="C18" s="246">
        <v>0.0456</v>
      </c>
      <c r="D18" s="246">
        <f>(10.38+5.14)%</f>
        <v>0.1552</v>
      </c>
      <c r="E18" s="245">
        <v>0.063</v>
      </c>
      <c r="F18" s="245">
        <v>0.047</v>
      </c>
      <c r="G18" s="245">
        <v>0.047</v>
      </c>
    </row>
    <row r="19" spans="1:7" ht="12.75">
      <c r="A19" s="237" t="s">
        <v>358</v>
      </c>
      <c r="B19" s="246">
        <v>0.043</v>
      </c>
      <c r="C19" s="246">
        <v>0.0456</v>
      </c>
      <c r="D19" s="246">
        <f>(10.38+5.14)%</f>
        <v>0.1552</v>
      </c>
      <c r="E19" s="246">
        <v>0.063</v>
      </c>
      <c r="F19" s="246">
        <v>0.047</v>
      </c>
      <c r="G19" s="246">
        <v>0.047</v>
      </c>
    </row>
    <row r="20" spans="1:7" ht="12.75">
      <c r="A20" s="243" t="s">
        <v>134</v>
      </c>
      <c r="B20" s="297">
        <f>IF(Projeções!D138=0,"0",((Projeções!E138/Projeções!D138)-1)-B11-B12)</f>
        <v>1.2285863215555783</v>
      </c>
      <c r="C20" s="297">
        <f>IF(Projeções!E138=0,"0",((Projeções!F138/Projeções!E138)-1)-C11-C12)</f>
        <v>-0.6437725655138482</v>
      </c>
      <c r="D20" s="297">
        <f>IF(Projeções!F138=0,"0",((Projeções!G138/Projeções!F138)-1)-D11-D12)</f>
        <v>-0.08475157499222066</v>
      </c>
      <c r="E20" s="239">
        <f t="shared" si="0"/>
        <v>0.16668739368316984</v>
      </c>
      <c r="F20" s="239">
        <f t="shared" si="0"/>
        <v>-0.187278915607633</v>
      </c>
      <c r="G20" s="239">
        <f t="shared" si="0"/>
        <v>-0.035114365638894605</v>
      </c>
    </row>
    <row r="21" spans="1:7" ht="12.75">
      <c r="A21" s="243" t="s">
        <v>188</v>
      </c>
      <c r="B21" s="241">
        <v>0.019</v>
      </c>
      <c r="C21" s="241">
        <v>0.0915</v>
      </c>
      <c r="D21" s="239">
        <v>0.1325</v>
      </c>
      <c r="E21" s="245">
        <v>0.0925</v>
      </c>
      <c r="F21" s="245">
        <v>0.075</v>
      </c>
      <c r="G21" s="245">
        <v>0.07</v>
      </c>
    </row>
    <row r="22" spans="1:7" ht="12.75">
      <c r="A22" s="243" t="s">
        <v>543</v>
      </c>
      <c r="B22" s="244">
        <v>0.0001</v>
      </c>
      <c r="C22" s="244">
        <v>0.0001</v>
      </c>
      <c r="D22" s="244">
        <v>5</v>
      </c>
      <c r="E22" s="244">
        <v>5.04</v>
      </c>
      <c r="F22" s="244">
        <v>5.05</v>
      </c>
      <c r="G22" s="244">
        <v>5.02</v>
      </c>
    </row>
    <row r="23" spans="1:7" ht="14.25">
      <c r="A23" s="13" t="s">
        <v>645</v>
      </c>
      <c r="B23" s="46"/>
      <c r="C23" s="13"/>
      <c r="D23" s="13"/>
      <c r="E23" s="13"/>
      <c r="F23" s="13"/>
      <c r="G23" s="13"/>
    </row>
    <row r="24" spans="1:7" ht="12" customHeight="1">
      <c r="A24" s="408" t="s">
        <v>644</v>
      </c>
      <c r="B24" s="379"/>
      <c r="C24" s="379"/>
      <c r="D24" s="379"/>
      <c r="E24" s="379"/>
      <c r="F24" s="379"/>
      <c r="G24" s="379"/>
    </row>
    <row r="25" spans="1:7" ht="12" customHeight="1">
      <c r="A25" s="13" t="s">
        <v>647</v>
      </c>
      <c r="B25" s="379"/>
      <c r="C25" s="379"/>
      <c r="D25" s="379"/>
      <c r="E25" s="379"/>
      <c r="F25" s="379"/>
      <c r="G25" s="379"/>
    </row>
    <row r="26" spans="1:7" ht="12" customHeight="1">
      <c r="A26" s="408" t="s">
        <v>646</v>
      </c>
      <c r="B26" s="379"/>
      <c r="C26" s="379"/>
      <c r="D26" s="379"/>
      <c r="E26" s="379"/>
      <c r="F26" s="379"/>
      <c r="G26" s="379"/>
    </row>
    <row r="27" spans="1:7" ht="12" customHeight="1">
      <c r="A27" s="13" t="s">
        <v>648</v>
      </c>
      <c r="B27" s="379"/>
      <c r="C27" s="379"/>
      <c r="D27" s="379"/>
      <c r="E27" s="379"/>
      <c r="F27" s="379"/>
      <c r="G27" s="379"/>
    </row>
    <row r="28" spans="1:8" ht="12" customHeight="1">
      <c r="A28" s="408" t="s">
        <v>649</v>
      </c>
      <c r="B28" s="379"/>
      <c r="C28" s="379"/>
      <c r="D28" s="379"/>
      <c r="E28" s="379"/>
      <c r="F28" s="379"/>
      <c r="G28" s="379"/>
      <c r="H28" s="41"/>
    </row>
    <row r="29" spans="1:8" ht="12" customHeight="1">
      <c r="A29" s="408" t="s">
        <v>650</v>
      </c>
      <c r="B29" s="379"/>
      <c r="C29" s="379"/>
      <c r="D29" s="379"/>
      <c r="E29" s="379"/>
      <c r="F29" s="379"/>
      <c r="G29" s="379"/>
      <c r="H29" s="41"/>
    </row>
    <row r="30" spans="1:8" ht="12" customHeight="1">
      <c r="A30" s="408" t="s">
        <v>651</v>
      </c>
      <c r="B30" s="379"/>
      <c r="C30" s="379"/>
      <c r="D30" s="379"/>
      <c r="E30" s="379"/>
      <c r="F30" s="379"/>
      <c r="G30" s="379"/>
      <c r="H30" s="41"/>
    </row>
    <row r="31" spans="1:8" ht="12" customHeight="1">
      <c r="A31" s="408"/>
      <c r="B31" s="379"/>
      <c r="C31" s="379"/>
      <c r="D31" s="379"/>
      <c r="E31" s="379"/>
      <c r="F31" s="379"/>
      <c r="G31" s="379"/>
      <c r="H31" s="41"/>
    </row>
  </sheetData>
  <sheetProtection/>
  <mergeCells count="3">
    <mergeCell ref="A7:J7"/>
    <mergeCell ref="A8:J8"/>
    <mergeCell ref="A9:J9"/>
  </mergeCells>
  <printOptions gridLines="1"/>
  <pageMargins left="0" right="0" top="0.3937007874015748" bottom="0.1968503937007874" header="0.5118110236220472" footer="0.5118110236220472"/>
  <pageSetup horizontalDpi="300" verticalDpi="300" orientation="landscape" paperSize="9" scale="70" r:id="rId2"/>
  <colBreaks count="1" manualBreakCount="1">
    <brk id="8" max="65535" man="1"/>
  </colBreaks>
  <drawing r:id="rId1"/>
</worksheet>
</file>

<file path=xl/worksheets/sheet10.xml><?xml version="1.0" encoding="utf-8"?>
<worksheet xmlns="http://schemas.openxmlformats.org/spreadsheetml/2006/main" xmlns:r="http://schemas.openxmlformats.org/officeDocument/2006/relationships">
  <sheetPr codeName="Plan12"/>
  <dimension ref="A1:I21"/>
  <sheetViews>
    <sheetView view="pageBreakPreview" zoomScaleNormal="90" zoomScaleSheetLayoutView="100" zoomScalePageLayoutView="0" workbookViewId="0" topLeftCell="A7">
      <selection activeCell="J59" sqref="J59"/>
    </sheetView>
  </sheetViews>
  <sheetFormatPr defaultColWidth="9.140625" defaultRowHeight="12.75"/>
  <cols>
    <col min="1" max="1" width="20.7109375" style="11" customWidth="1"/>
    <col min="2" max="2" width="17.28125" style="11" customWidth="1"/>
    <col min="3" max="3" width="9.7109375" style="11" customWidth="1"/>
    <col min="4" max="4" width="18.28125" style="11" customWidth="1"/>
    <col min="5" max="5" width="17.28125" style="11" customWidth="1"/>
    <col min="6" max="6" width="9.7109375" style="11" customWidth="1"/>
    <col min="7" max="7" width="11.421875" style="11" customWidth="1"/>
    <col min="8" max="8" width="16.8515625" style="11" customWidth="1"/>
    <col min="9" max="9" width="10.140625" style="11" customWidth="1"/>
    <col min="10" max="16384" width="9.140625" style="11" customWidth="1"/>
  </cols>
  <sheetData>
    <row r="1" spans="1:9" ht="12.75">
      <c r="A1" s="742" t="str">
        <f>Parâmetros!A7</f>
        <v>Município de : Caçapava do Sul / RS.</v>
      </c>
      <c r="B1" s="743"/>
      <c r="C1" s="743"/>
      <c r="D1" s="743"/>
      <c r="E1" s="743"/>
      <c r="F1" s="743"/>
      <c r="G1" s="743"/>
      <c r="H1" s="743"/>
      <c r="I1" s="744"/>
    </row>
    <row r="2" spans="1:9" ht="12.75">
      <c r="A2" s="745" t="s">
        <v>36</v>
      </c>
      <c r="B2" s="743"/>
      <c r="C2" s="743"/>
      <c r="D2" s="743"/>
      <c r="E2" s="743"/>
      <c r="F2" s="743"/>
      <c r="G2" s="743"/>
      <c r="H2" s="743"/>
      <c r="I2" s="744"/>
    </row>
    <row r="3" spans="1:9" ht="12.75">
      <c r="A3" s="745" t="s">
        <v>144</v>
      </c>
      <c r="B3" s="743"/>
      <c r="C3" s="743"/>
      <c r="D3" s="743"/>
      <c r="E3" s="743"/>
      <c r="F3" s="743"/>
      <c r="G3" s="743"/>
      <c r="H3" s="743"/>
      <c r="I3" s="744"/>
    </row>
    <row r="4" spans="1:9" ht="12.75">
      <c r="A4" s="746" t="s">
        <v>406</v>
      </c>
      <c r="B4" s="747"/>
      <c r="C4" s="747"/>
      <c r="D4" s="747"/>
      <c r="E4" s="747"/>
      <c r="F4" s="747"/>
      <c r="G4" s="747"/>
      <c r="H4" s="747"/>
      <c r="I4" s="748"/>
    </row>
    <row r="5" spans="1:9" ht="12.75">
      <c r="A5" s="745" t="s">
        <v>619</v>
      </c>
      <c r="B5" s="743"/>
      <c r="C5" s="743"/>
      <c r="D5" s="743"/>
      <c r="E5" s="743"/>
      <c r="F5" s="743"/>
      <c r="G5" s="743"/>
      <c r="H5" s="743"/>
      <c r="I5" s="744"/>
    </row>
    <row r="6" spans="1:9" ht="12.75">
      <c r="A6" s="745"/>
      <c r="B6" s="743"/>
      <c r="C6" s="743"/>
      <c r="D6" s="743"/>
      <c r="E6" s="743"/>
      <c r="F6" s="743"/>
      <c r="G6" s="743"/>
      <c r="H6" s="743"/>
      <c r="I6" s="744"/>
    </row>
    <row r="7" spans="1:9" ht="12.75" customHeight="1">
      <c r="A7" s="768" t="s">
        <v>416</v>
      </c>
      <c r="B7" s="769"/>
      <c r="C7" s="193"/>
      <c r="D7" s="193"/>
      <c r="E7" s="193"/>
      <c r="F7" s="193"/>
      <c r="G7" s="193"/>
      <c r="H7" s="759">
        <v>1</v>
      </c>
      <c r="I7" s="760"/>
    </row>
    <row r="8" spans="1:9" ht="10.5" customHeight="1">
      <c r="A8" s="761" t="s">
        <v>56</v>
      </c>
      <c r="B8" s="749" t="s">
        <v>109</v>
      </c>
      <c r="C8" s="749" t="s">
        <v>58</v>
      </c>
      <c r="D8" s="749" t="s">
        <v>360</v>
      </c>
      <c r="E8" s="749" t="s">
        <v>110</v>
      </c>
      <c r="F8" s="749" t="s">
        <v>58</v>
      </c>
      <c r="G8" s="749" t="s">
        <v>360</v>
      </c>
      <c r="H8" s="764" t="s">
        <v>70</v>
      </c>
      <c r="I8" s="765"/>
    </row>
    <row r="9" spans="1:9" ht="12.75" customHeight="1">
      <c r="A9" s="762"/>
      <c r="B9" s="750"/>
      <c r="C9" s="750"/>
      <c r="D9" s="750"/>
      <c r="E9" s="750"/>
      <c r="F9" s="750"/>
      <c r="G9" s="750"/>
      <c r="H9" s="766"/>
      <c r="I9" s="767"/>
    </row>
    <row r="10" spans="1:9" ht="22.5" customHeight="1">
      <c r="A10" s="763"/>
      <c r="B10" s="221" t="s">
        <v>621</v>
      </c>
      <c r="C10" s="751"/>
      <c r="D10" s="751"/>
      <c r="E10" s="222" t="s">
        <v>622</v>
      </c>
      <c r="F10" s="751"/>
      <c r="G10" s="751"/>
      <c r="H10" s="223" t="s">
        <v>111</v>
      </c>
      <c r="I10" s="220" t="s">
        <v>71</v>
      </c>
    </row>
    <row r="11" spans="1:9" ht="12.75">
      <c r="A11" s="219" t="s">
        <v>39</v>
      </c>
      <c r="B11" s="194">
        <f>149218463.99-(17003424.53+558100)</f>
        <v>131656939.46000001</v>
      </c>
      <c r="C11" s="755" t="s">
        <v>623</v>
      </c>
      <c r="D11" s="249">
        <f>B11/D21</f>
        <v>1.1609865303051004</v>
      </c>
      <c r="E11" s="224">
        <f>Projeções!F110-Projeções!F98-Projeções!F101</f>
        <v>126457481.25800003</v>
      </c>
      <c r="F11" s="755" t="s">
        <v>623</v>
      </c>
      <c r="G11" s="404">
        <f>E11/D21</f>
        <v>1.115136300441293</v>
      </c>
      <c r="H11" s="250">
        <f aca="true" t="shared" si="0" ref="H11:H18">E11-B11</f>
        <v>-5199458.201999977</v>
      </c>
      <c r="I11" s="251">
        <f>IF(B11=0,"-",(H11/B11))</f>
        <v>-0.03949247357052285</v>
      </c>
    </row>
    <row r="12" spans="1:9" ht="12.75">
      <c r="A12" s="219" t="s">
        <v>115</v>
      </c>
      <c r="B12" s="194">
        <f>131656939.46-(6263908.76+120000)</f>
        <v>125273030.69999999</v>
      </c>
      <c r="C12" s="756"/>
      <c r="D12" s="249">
        <f>B12/D21</f>
        <v>1.1046914948025581</v>
      </c>
      <c r="E12" s="224">
        <f>E11-Projeções!F25-Projeções!F80-Projeções!F81-Projeções!F86</f>
        <v>124540813.49800004</v>
      </c>
      <c r="F12" s="756"/>
      <c r="G12" s="404">
        <f>E12/D21</f>
        <v>1.0982346053118381</v>
      </c>
      <c r="H12" s="250">
        <f t="shared" si="0"/>
        <v>-732217.2019999474</v>
      </c>
      <c r="I12" s="251">
        <f aca="true" t="shared" si="1" ref="I12:I18">IF(B12=0,"-",(H12/B12))</f>
        <v>-0.005844970764325473</v>
      </c>
    </row>
    <row r="13" spans="1:9" ht="12.75">
      <c r="A13" s="219" t="s">
        <v>40</v>
      </c>
      <c r="B13" s="194">
        <f>157679088.08-(24028177.46+2+1774464.76+44)</f>
        <v>131876399.86000001</v>
      </c>
      <c r="C13" s="756"/>
      <c r="D13" s="249">
        <f>B13/D21</f>
        <v>1.1629217915179193</v>
      </c>
      <c r="E13" s="224">
        <f>Projeções!F158-Projeções!F124-Projeções!F130-Projeções!F136-Projeções!F143-Projeções!F149-Projeções!F155</f>
        <v>114539393.46000002</v>
      </c>
      <c r="F13" s="756"/>
      <c r="G13" s="405">
        <f>E13/D21</f>
        <v>1.010039376137691</v>
      </c>
      <c r="H13" s="250">
        <f t="shared" si="0"/>
        <v>-17337006.39999999</v>
      </c>
      <c r="I13" s="251">
        <f t="shared" si="1"/>
        <v>-0.1314640558766008</v>
      </c>
    </row>
    <row r="14" spans="1:9" ht="12.75">
      <c r="A14" s="219" t="s">
        <v>116</v>
      </c>
      <c r="B14" s="194">
        <f>131876399.86-(73526.6+865.38)</f>
        <v>131802007.88</v>
      </c>
      <c r="C14" s="756"/>
      <c r="D14" s="249">
        <f>B14/D21</f>
        <v>1.1622657829011536</v>
      </c>
      <c r="E14" s="224">
        <f>E13-Projeções!F125-Projeções!F150-Projeções!F145</f>
        <v>114150148.48000002</v>
      </c>
      <c r="F14" s="756"/>
      <c r="G14" s="404">
        <f>E14/D21</f>
        <v>1.0066069085395344</v>
      </c>
      <c r="H14" s="250">
        <f t="shared" si="0"/>
        <v>-17651859.399999976</v>
      </c>
      <c r="I14" s="251">
        <f t="shared" si="1"/>
        <v>-0.13392709021604002</v>
      </c>
    </row>
    <row r="15" spans="1:9" ht="25.5">
      <c r="A15" s="219" t="s">
        <v>72</v>
      </c>
      <c r="B15" s="248">
        <f>B12-B14</f>
        <v>-6528977.180000007</v>
      </c>
      <c r="C15" s="756"/>
      <c r="D15" s="249">
        <f>B15/D21</f>
        <v>-0.0575742880985955</v>
      </c>
      <c r="E15" s="248">
        <f>E12-E14</f>
        <v>10390665.018000022</v>
      </c>
      <c r="F15" s="756"/>
      <c r="G15" s="404">
        <f>E15/D21</f>
        <v>0.09162769677230372</v>
      </c>
      <c r="H15" s="250">
        <f t="shared" si="0"/>
        <v>16919642.19800003</v>
      </c>
      <c r="I15" s="251">
        <f t="shared" si="1"/>
        <v>-2.591469035889632</v>
      </c>
    </row>
    <row r="16" spans="1:9" ht="15" customHeight="1">
      <c r="A16" s="219" t="s">
        <v>37</v>
      </c>
      <c r="B16" s="195">
        <v>0</v>
      </c>
      <c r="C16" s="756"/>
      <c r="D16" s="249">
        <f>B16/D21</f>
        <v>0</v>
      </c>
      <c r="E16" s="224"/>
      <c r="F16" s="756"/>
      <c r="G16" s="249">
        <f>E16/D21</f>
        <v>0</v>
      </c>
      <c r="H16" s="250">
        <f t="shared" si="0"/>
        <v>0</v>
      </c>
      <c r="I16" s="251" t="str">
        <f t="shared" si="1"/>
        <v>-</v>
      </c>
    </row>
    <row r="17" spans="1:9" ht="27" customHeight="1">
      <c r="A17" s="219" t="s">
        <v>73</v>
      </c>
      <c r="B17" s="195">
        <v>0</v>
      </c>
      <c r="C17" s="756"/>
      <c r="D17" s="249">
        <f>B17/D21</f>
        <v>0</v>
      </c>
      <c r="E17" s="224">
        <f>Dívida!C7</f>
        <v>938163.67</v>
      </c>
      <c r="F17" s="756"/>
      <c r="G17" s="249">
        <f>E17/D21</f>
        <v>0.008272981193084155</v>
      </c>
      <c r="H17" s="250">
        <f t="shared" si="0"/>
        <v>938163.67</v>
      </c>
      <c r="I17" s="251" t="str">
        <f t="shared" si="1"/>
        <v>-</v>
      </c>
    </row>
    <row r="18" spans="1:9" ht="28.5" customHeight="1">
      <c r="A18" s="219" t="s">
        <v>74</v>
      </c>
      <c r="B18" s="195">
        <v>0</v>
      </c>
      <c r="C18" s="757"/>
      <c r="D18" s="249">
        <f>B18/D21</f>
        <v>0</v>
      </c>
      <c r="E18" s="224">
        <f>Dívida!C15</f>
        <v>305709.05000000005</v>
      </c>
      <c r="F18" s="757"/>
      <c r="G18" s="249">
        <f>E18/D21</f>
        <v>0.0026958251551199206</v>
      </c>
      <c r="H18" s="250">
        <f t="shared" si="0"/>
        <v>305709.05000000005</v>
      </c>
      <c r="I18" s="251" t="str">
        <f t="shared" si="1"/>
        <v>-</v>
      </c>
    </row>
    <row r="19" spans="1:9" ht="12.75">
      <c r="A19" s="758" t="s">
        <v>186</v>
      </c>
      <c r="B19" s="758"/>
      <c r="C19" s="758"/>
      <c r="D19" s="758"/>
      <c r="E19" s="758"/>
      <c r="F19" s="758"/>
      <c r="G19" s="758"/>
      <c r="H19" s="758"/>
      <c r="I19" s="758"/>
    </row>
    <row r="20" spans="1:9" ht="12.75">
      <c r="A20" s="343"/>
      <c r="B20" s="343"/>
      <c r="C20" s="343"/>
      <c r="D20" s="343"/>
      <c r="E20" s="424"/>
      <c r="F20" s="343"/>
      <c r="G20" s="343"/>
      <c r="H20" s="343"/>
      <c r="I20" s="343"/>
    </row>
    <row r="21" spans="1:9" ht="12.75">
      <c r="A21" s="752" t="s">
        <v>624</v>
      </c>
      <c r="B21" s="753"/>
      <c r="C21" s="754"/>
      <c r="D21" s="344">
        <f>113400918.98</f>
        <v>113400918.98</v>
      </c>
      <c r="E21" s="425">
        <f>(153888659.43-(27409106.68+22071.49))-E11</f>
        <v>0.001999974250793457</v>
      </c>
      <c r="F21" s="343"/>
      <c r="G21" s="343"/>
      <c r="H21" s="343"/>
      <c r="I21" s="343"/>
    </row>
  </sheetData>
  <sheetProtection/>
  <mergeCells count="20">
    <mergeCell ref="A21:C21"/>
    <mergeCell ref="C11:C18"/>
    <mergeCell ref="F11:F18"/>
    <mergeCell ref="A19:I19"/>
    <mergeCell ref="H7:I7"/>
    <mergeCell ref="A8:A10"/>
    <mergeCell ref="B8:B9"/>
    <mergeCell ref="E8:E9"/>
    <mergeCell ref="H8:I9"/>
    <mergeCell ref="A7:B7"/>
    <mergeCell ref="A1:I1"/>
    <mergeCell ref="A2:I2"/>
    <mergeCell ref="A3:I3"/>
    <mergeCell ref="A4:I4"/>
    <mergeCell ref="C8:C10"/>
    <mergeCell ref="F8:F10"/>
    <mergeCell ref="D8:D10"/>
    <mergeCell ref="G8:G10"/>
    <mergeCell ref="A5:I5"/>
    <mergeCell ref="A6:I6"/>
  </mergeCells>
  <printOptions/>
  <pageMargins left="0.787401575" right="0.787401575" top="0.984251969" bottom="0.984251969" header="0.492125985" footer="0.492125985"/>
  <pageSetup horizontalDpi="300" verticalDpi="300" orientation="portrait" paperSize="9" scale="66" r:id="rId2"/>
  <drawing r:id="rId1"/>
</worksheet>
</file>

<file path=xl/worksheets/sheet11.xml><?xml version="1.0" encoding="utf-8"?>
<worksheet xmlns="http://schemas.openxmlformats.org/spreadsheetml/2006/main" xmlns:r="http://schemas.openxmlformats.org/officeDocument/2006/relationships">
  <sheetPr codeName="Plan13"/>
  <dimension ref="A1:O46"/>
  <sheetViews>
    <sheetView view="pageBreakPreview" zoomScaleSheetLayoutView="100" zoomScalePageLayoutView="0" workbookViewId="0" topLeftCell="A4">
      <selection activeCell="L46" sqref="A1:L46"/>
    </sheetView>
  </sheetViews>
  <sheetFormatPr defaultColWidth="9.140625" defaultRowHeight="12.75"/>
  <cols>
    <col min="1" max="1" width="23.421875" style="11" customWidth="1"/>
    <col min="2" max="2" width="13.8515625" style="11" customWidth="1"/>
    <col min="3" max="3" width="13.57421875" style="11" customWidth="1"/>
    <col min="4" max="4" width="10.28125" style="11" customWidth="1"/>
    <col min="5" max="5" width="14.28125" style="11" customWidth="1"/>
    <col min="6" max="6" width="10.28125" style="11" customWidth="1"/>
    <col min="7" max="7" width="14.140625" style="11" customWidth="1"/>
    <col min="8" max="8" width="11.00390625" style="11" customWidth="1"/>
    <col min="9" max="9" width="15.140625" style="11" customWidth="1"/>
    <col min="10" max="10" width="10.7109375" style="11" customWidth="1"/>
    <col min="11" max="11" width="16.28125" style="11" customWidth="1"/>
    <col min="12" max="12" width="10.28125" style="11" customWidth="1"/>
    <col min="13" max="14" width="9.140625" style="11" customWidth="1"/>
    <col min="15" max="15" width="12.57421875" style="11" bestFit="1" customWidth="1"/>
    <col min="16" max="16384" width="9.140625" style="11" customWidth="1"/>
  </cols>
  <sheetData>
    <row r="1" spans="1:12" ht="12.75" customHeight="1">
      <c r="A1" s="742" t="str">
        <f>Parâmetros!A7</f>
        <v>Município de : Caçapava do Sul / RS.</v>
      </c>
      <c r="B1" s="743"/>
      <c r="C1" s="743"/>
      <c r="D1" s="743"/>
      <c r="E1" s="743"/>
      <c r="F1" s="743"/>
      <c r="G1" s="743"/>
      <c r="H1" s="743"/>
      <c r="I1" s="743"/>
      <c r="J1" s="743"/>
      <c r="K1" s="743"/>
      <c r="L1" s="744"/>
    </row>
    <row r="2" spans="1:12" ht="12.75">
      <c r="A2" s="745" t="s">
        <v>36</v>
      </c>
      <c r="B2" s="743"/>
      <c r="C2" s="743"/>
      <c r="D2" s="743"/>
      <c r="E2" s="743"/>
      <c r="F2" s="743"/>
      <c r="G2" s="743"/>
      <c r="H2" s="743"/>
      <c r="I2" s="743"/>
      <c r="J2" s="743"/>
      <c r="K2" s="743"/>
      <c r="L2" s="744"/>
    </row>
    <row r="3" spans="1:12" ht="12.75">
      <c r="A3" s="745" t="s">
        <v>144</v>
      </c>
      <c r="B3" s="743"/>
      <c r="C3" s="743"/>
      <c r="D3" s="743"/>
      <c r="E3" s="743"/>
      <c r="F3" s="743"/>
      <c r="G3" s="743"/>
      <c r="H3" s="743"/>
      <c r="I3" s="743"/>
      <c r="J3" s="743"/>
      <c r="K3" s="743"/>
      <c r="L3" s="744"/>
    </row>
    <row r="4" spans="1:12" ht="12.75">
      <c r="A4" s="746" t="s">
        <v>117</v>
      </c>
      <c r="B4" s="747"/>
      <c r="C4" s="747"/>
      <c r="D4" s="747"/>
      <c r="E4" s="747"/>
      <c r="F4" s="747"/>
      <c r="G4" s="747"/>
      <c r="H4" s="747"/>
      <c r="I4" s="747"/>
      <c r="J4" s="747"/>
      <c r="K4" s="747"/>
      <c r="L4" s="748"/>
    </row>
    <row r="5" spans="1:12" ht="12.75">
      <c r="A5" s="745" t="s">
        <v>619</v>
      </c>
      <c r="B5" s="743"/>
      <c r="C5" s="743"/>
      <c r="D5" s="743"/>
      <c r="E5" s="743"/>
      <c r="F5" s="743"/>
      <c r="G5" s="743"/>
      <c r="H5" s="743"/>
      <c r="I5" s="743"/>
      <c r="J5" s="743"/>
      <c r="K5" s="743"/>
      <c r="L5" s="744"/>
    </row>
    <row r="6" spans="1:12" ht="12.75">
      <c r="A6" s="774" t="s">
        <v>415</v>
      </c>
      <c r="B6" s="775"/>
      <c r="C6" s="55"/>
      <c r="D6" s="55"/>
      <c r="E6" s="55"/>
      <c r="F6" s="55"/>
      <c r="G6" s="55"/>
      <c r="H6" s="55"/>
      <c r="I6" s="55"/>
      <c r="J6" s="55"/>
      <c r="K6" s="55"/>
      <c r="L6" s="56">
        <v>1</v>
      </c>
    </row>
    <row r="7" spans="1:12" ht="15.75" customHeight="1">
      <c r="A7" s="52" t="s">
        <v>56</v>
      </c>
      <c r="B7" s="777" t="s">
        <v>75</v>
      </c>
      <c r="C7" s="776"/>
      <c r="D7" s="776"/>
      <c r="E7" s="776"/>
      <c r="F7" s="776"/>
      <c r="G7" s="776"/>
      <c r="H7" s="776"/>
      <c r="I7" s="776"/>
      <c r="J7" s="776"/>
      <c r="K7" s="776"/>
      <c r="L7" s="776"/>
    </row>
    <row r="8" spans="1:12" s="12" customFormat="1" ht="15.75" customHeight="1">
      <c r="A8" s="770"/>
      <c r="B8" s="772">
        <f>Parâmetros!B10</f>
        <v>2020</v>
      </c>
      <c r="C8" s="772">
        <f>B8+1</f>
        <v>2021</v>
      </c>
      <c r="D8" s="772" t="s">
        <v>112</v>
      </c>
      <c r="E8" s="772">
        <f>C8+1</f>
        <v>2022</v>
      </c>
      <c r="F8" s="772" t="s">
        <v>112</v>
      </c>
      <c r="G8" s="749">
        <f>E8+1</f>
        <v>2023</v>
      </c>
      <c r="H8" s="749" t="s">
        <v>112</v>
      </c>
      <c r="I8" s="749">
        <f>G8+1</f>
        <v>2024</v>
      </c>
      <c r="J8" s="749" t="s">
        <v>113</v>
      </c>
      <c r="K8" s="749">
        <f>I8+1</f>
        <v>2025</v>
      </c>
      <c r="L8" s="764" t="s">
        <v>112</v>
      </c>
    </row>
    <row r="9" spans="1:12" s="12" customFormat="1" ht="15.75" customHeight="1">
      <c r="A9" s="771"/>
      <c r="B9" s="773"/>
      <c r="C9" s="773"/>
      <c r="D9" s="773"/>
      <c r="E9" s="773"/>
      <c r="F9" s="773"/>
      <c r="G9" s="751"/>
      <c r="H9" s="751"/>
      <c r="I9" s="751"/>
      <c r="J9" s="751"/>
      <c r="K9" s="751"/>
      <c r="L9" s="766"/>
    </row>
    <row r="10" spans="1:12" ht="12.75">
      <c r="A10" s="225" t="s">
        <v>76</v>
      </c>
      <c r="B10" s="427">
        <f>140145926.42-(16944770.93+438100)</f>
        <v>122763055.48999998</v>
      </c>
      <c r="C10" s="426">
        <f>' Avaliação'!B11</f>
        <v>131656939.46000001</v>
      </c>
      <c r="D10" s="252">
        <f aca="true" t="shared" si="0" ref="D10:D17">IF(B10=0,"0",(C10/B10)-1)</f>
        <v>0.07244756115348161</v>
      </c>
      <c r="E10" s="427">
        <f>182499259.59-31868206.85</f>
        <v>150631052.74</v>
      </c>
      <c r="F10" s="252">
        <f aca="true" t="shared" si="1" ref="F10:F17">IF(C10=0,"0",(E10/C10)-1)</f>
        <v>0.14411783653655963</v>
      </c>
      <c r="G10" s="406">
        <f>'Metas Cons'!B11</f>
        <v>156689526.2832365</v>
      </c>
      <c r="H10" s="254">
        <f>IF(E10=0,"0",(G10/E10)-1)</f>
        <v>0.04022061476058236</v>
      </c>
      <c r="I10" s="253">
        <f>'Metas Cons'!F11</f>
        <v>162402960.40053353</v>
      </c>
      <c r="J10" s="252">
        <f>IF(G10=0,"-",(I10/G10)-1)</f>
        <v>0.03646340794322933</v>
      </c>
      <c r="K10" s="253">
        <f>'Metas Cons'!J11</f>
        <v>168756507.08381635</v>
      </c>
      <c r="L10" s="252">
        <f>IF(I10=0,"-",(K10/I10)-1)</f>
        <v>0.03912211124485121</v>
      </c>
    </row>
    <row r="11" spans="1:12" ht="12.75">
      <c r="A11" s="225" t="s">
        <v>118</v>
      </c>
      <c r="B11" s="427">
        <f>122763055.49-(5999690.06+30)</f>
        <v>116763335.42999999</v>
      </c>
      <c r="C11" s="426">
        <f>' Avaliação'!B12</f>
        <v>125273030.69999999</v>
      </c>
      <c r="D11" s="252">
        <f t="shared" si="0"/>
        <v>0.07287985769386984</v>
      </c>
      <c r="E11" s="427">
        <f>150631052.74-(5942619.93+5000000+6081.85)</f>
        <v>139682350.96</v>
      </c>
      <c r="F11" s="252">
        <f t="shared" si="1"/>
        <v>0.11502332289307349</v>
      </c>
      <c r="G11" s="406">
        <f>'Metas Cons'!B12</f>
        <v>152651762.68508857</v>
      </c>
      <c r="H11" s="254">
        <f aca="true" t="shared" si="2" ref="H11:H17">IF(E11=0,"0",(G11/E11)-1)</f>
        <v>0.09284932302437077</v>
      </c>
      <c r="I11" s="253">
        <f>'Metas Cons'!F12</f>
        <v>158154139.26202118</v>
      </c>
      <c r="J11" s="252">
        <f aca="true" t="shared" si="3" ref="J11:J17">IF(G11=0,"-",(I11/G11)-1)</f>
        <v>0.0360452868682799</v>
      </c>
      <c r="K11" s="253">
        <f>'Metas Cons'!J12</f>
        <v>164294965.0971151</v>
      </c>
      <c r="L11" s="252">
        <f aca="true" t="shared" si="4" ref="L11:L17">IF(I11=0,"-",(K11/I11)-1)</f>
        <v>0.0388281069578591</v>
      </c>
    </row>
    <row r="12" spans="1:15" ht="12.75">
      <c r="A12" s="225" t="s">
        <v>77</v>
      </c>
      <c r="B12" s="427">
        <f>143664271.32-(17504219.02+4895+10011+5049.85)</f>
        <v>126140096.44999999</v>
      </c>
      <c r="C12" s="426">
        <f>' Avaliação'!B13</f>
        <v>131876399.86000001</v>
      </c>
      <c r="D12" s="252">
        <f t="shared" si="0"/>
        <v>0.04547565422445832</v>
      </c>
      <c r="E12" s="427">
        <f>187396495.97-(29180010.67+1+3143117.06+2)</f>
        <v>155073365.24</v>
      </c>
      <c r="F12" s="252">
        <f t="shared" si="1"/>
        <v>0.1758992920994651</v>
      </c>
      <c r="G12" s="406">
        <f>'Metas Cons'!B19</f>
        <v>160652373.66974634</v>
      </c>
      <c r="H12" s="254">
        <f t="shared" si="2"/>
        <v>0.035976574191912025</v>
      </c>
      <c r="I12" s="253">
        <f>'Metas Cons'!F19</f>
        <v>164782731.04336852</v>
      </c>
      <c r="J12" s="252">
        <f t="shared" si="3"/>
        <v>0.025709905675673106</v>
      </c>
      <c r="K12" s="253">
        <f>'Metas Cons'!J19</f>
        <v>173293944.02389228</v>
      </c>
      <c r="L12" s="252">
        <f t="shared" si="4"/>
        <v>0.051651122217920564</v>
      </c>
      <c r="O12" s="431"/>
    </row>
    <row r="13" spans="1:15" ht="12.75">
      <c r="A13" s="225" t="s">
        <v>114</v>
      </c>
      <c r="B13" s="427">
        <f>126140096.45-((117314.6-4895)+1024848.21)</f>
        <v>125002828.64</v>
      </c>
      <c r="C13" s="426">
        <f>' Avaliação'!B14</f>
        <v>131802007.88</v>
      </c>
      <c r="D13" s="252">
        <f t="shared" si="0"/>
        <v>0.05439220307230963</v>
      </c>
      <c r="E13" s="427">
        <f>155073365.24-(631899.73)</f>
        <v>154441465.51000002</v>
      </c>
      <c r="F13" s="252">
        <f t="shared" si="1"/>
        <v>0.17176868542558377</v>
      </c>
      <c r="G13" s="406">
        <f>'Metas Cons'!B20</f>
        <v>160180699.27890044</v>
      </c>
      <c r="H13" s="254">
        <f t="shared" si="2"/>
        <v>0.0371612231854197</v>
      </c>
      <c r="I13" s="253">
        <f>'Metas Cons'!F20</f>
        <v>164268981.58134845</v>
      </c>
      <c r="J13" s="252">
        <f t="shared" si="3"/>
        <v>0.025522939535490785</v>
      </c>
      <c r="K13" s="253">
        <f>'Metas Cons'!J20</f>
        <v>172819841.14017525</v>
      </c>
      <c r="L13" s="252">
        <f t="shared" si="4"/>
        <v>0.052054012123964544</v>
      </c>
      <c r="O13" s="431"/>
    </row>
    <row r="14" spans="1:12" ht="12.75">
      <c r="A14" s="225" t="s">
        <v>78</v>
      </c>
      <c r="B14" s="426">
        <f>B11-B13</f>
        <v>-8239493.210000008</v>
      </c>
      <c r="C14" s="247">
        <f>' Avaliação'!B15</f>
        <v>-6528977.180000007</v>
      </c>
      <c r="D14" s="252">
        <f t="shared" si="0"/>
        <v>-0.20759966497988036</v>
      </c>
      <c r="E14" s="426">
        <f>E11-E13</f>
        <v>-14759114.550000012</v>
      </c>
      <c r="F14" s="252">
        <f t="shared" si="1"/>
        <v>1.2605553891674033</v>
      </c>
      <c r="G14" s="253">
        <f>'Metas Cons'!B27</f>
        <v>-7528936.59381187</v>
      </c>
      <c r="H14" s="254">
        <f t="shared" si="2"/>
        <v>-0.48987884277841964</v>
      </c>
      <c r="I14" s="253">
        <f>'Metas Cons'!F27</f>
        <v>-6114842.319327265</v>
      </c>
      <c r="J14" s="252">
        <f t="shared" si="3"/>
        <v>-0.18782124897251318</v>
      </c>
      <c r="K14" s="253">
        <f>'Metas Cons'!J27</f>
        <v>-8524876.043060154</v>
      </c>
      <c r="L14" s="252">
        <f t="shared" si="4"/>
        <v>0.3941285151565499</v>
      </c>
    </row>
    <row r="15" spans="1:12" ht="12.75">
      <c r="A15" s="225" t="s">
        <v>79</v>
      </c>
      <c r="B15" s="428">
        <v>0</v>
      </c>
      <c r="C15" s="247">
        <f>' Avaliação'!B16</f>
        <v>0</v>
      </c>
      <c r="D15" s="252" t="str">
        <f t="shared" si="0"/>
        <v>0</v>
      </c>
      <c r="E15" s="429">
        <v>0</v>
      </c>
      <c r="F15" s="252" t="str">
        <f t="shared" si="1"/>
        <v>0</v>
      </c>
      <c r="G15" s="253">
        <f>'Metas Cons'!B30</f>
        <v>-7528936.59381187</v>
      </c>
      <c r="H15" s="254" t="str">
        <f t="shared" si="2"/>
        <v>0</v>
      </c>
      <c r="I15" s="253">
        <f>'Metas Cons'!F30</f>
        <v>-6114842.319327265</v>
      </c>
      <c r="J15" s="252">
        <f t="shared" si="3"/>
        <v>-0.18782124897251318</v>
      </c>
      <c r="K15" s="253">
        <f>'Metas Cons'!J30</f>
        <v>-8524876.043060154</v>
      </c>
      <c r="L15" s="252">
        <f t="shared" si="4"/>
        <v>0.3941285151565499</v>
      </c>
    </row>
    <row r="16" spans="1:12" ht="12.75">
      <c r="A16" s="225" t="s">
        <v>80</v>
      </c>
      <c r="B16" s="429">
        <v>0</v>
      </c>
      <c r="C16" s="247">
        <f>' Avaliação'!B17</f>
        <v>0</v>
      </c>
      <c r="D16" s="252" t="str">
        <f t="shared" si="0"/>
        <v>0</v>
      </c>
      <c r="E16" s="429">
        <f>Dívida!D7</f>
        <v>1133247.92</v>
      </c>
      <c r="F16" s="252" t="str">
        <f t="shared" si="1"/>
        <v>0</v>
      </c>
      <c r="G16" s="253">
        <f>'Metas Cons'!B31</f>
        <v>1248578.5966666664</v>
      </c>
      <c r="H16" s="254">
        <f t="shared" si="2"/>
        <v>0.10177003163320752</v>
      </c>
      <c r="I16" s="253">
        <f>'Metas Cons'!F31</f>
        <v>1106663.3955555556</v>
      </c>
      <c r="J16" s="252">
        <f t="shared" si="3"/>
        <v>-0.11366140785208256</v>
      </c>
      <c r="K16" s="253">
        <f>'Metas Cons'!J31</f>
        <v>1162829.970740741</v>
      </c>
      <c r="L16" s="252">
        <f t="shared" si="4"/>
        <v>0.050753079401337775</v>
      </c>
    </row>
    <row r="17" spans="1:14" ht="12.75">
      <c r="A17" s="226" t="s">
        <v>74</v>
      </c>
      <c r="B17" s="430">
        <v>0</v>
      </c>
      <c r="C17" s="247">
        <f>' Avaliação'!B18</f>
        <v>0</v>
      </c>
      <c r="D17" s="252" t="str">
        <f t="shared" si="0"/>
        <v>0</v>
      </c>
      <c r="E17" s="430">
        <f>Dívida!D15</f>
        <v>-19985370.720000003</v>
      </c>
      <c r="F17" s="252" t="str">
        <f t="shared" si="1"/>
        <v>0</v>
      </c>
      <c r="G17" s="253">
        <f>'Metas Cons'!B32</f>
        <v>-1630191.0633333349</v>
      </c>
      <c r="H17" s="254">
        <f t="shared" si="2"/>
        <v>-0.9184307818867753</v>
      </c>
      <c r="I17" s="253">
        <f>'Metas Cons'!F32</f>
        <v>-5554076.141111112</v>
      </c>
      <c r="J17" s="252">
        <f t="shared" si="3"/>
        <v>2.4070093169044915</v>
      </c>
      <c r="K17" s="253">
        <f>'Metas Cons'!J32</f>
        <v>-9056545.974814814</v>
      </c>
      <c r="L17" s="252">
        <f t="shared" si="4"/>
        <v>0.630612498769781</v>
      </c>
      <c r="N17" s="345"/>
    </row>
    <row r="18" spans="1:12" ht="12.75">
      <c r="A18" s="776"/>
      <c r="B18" s="776"/>
      <c r="C18" s="776"/>
      <c r="D18" s="776"/>
      <c r="E18" s="776"/>
      <c r="F18" s="776"/>
      <c r="G18" s="776"/>
      <c r="H18" s="776"/>
      <c r="I18" s="776"/>
      <c r="J18" s="776"/>
      <c r="K18" s="776"/>
      <c r="L18" s="776"/>
    </row>
    <row r="19" spans="1:12" ht="15.75" customHeight="1">
      <c r="A19" s="218" t="s">
        <v>56</v>
      </c>
      <c r="B19" s="777" t="s">
        <v>81</v>
      </c>
      <c r="C19" s="776"/>
      <c r="D19" s="776"/>
      <c r="E19" s="776"/>
      <c r="F19" s="776"/>
      <c r="G19" s="776"/>
      <c r="H19" s="776"/>
      <c r="I19" s="776"/>
      <c r="J19" s="776"/>
      <c r="K19" s="776"/>
      <c r="L19" s="776"/>
    </row>
    <row r="20" spans="1:12" s="12" customFormat="1" ht="15.75" customHeight="1">
      <c r="A20" s="770"/>
      <c r="B20" s="772">
        <f>Parâmetros!B10</f>
        <v>2020</v>
      </c>
      <c r="C20" s="772">
        <f>B20+1</f>
        <v>2021</v>
      </c>
      <c r="D20" s="772" t="s">
        <v>112</v>
      </c>
      <c r="E20" s="772">
        <f>C20+1</f>
        <v>2022</v>
      </c>
      <c r="F20" s="749" t="s">
        <v>112</v>
      </c>
      <c r="G20" s="749">
        <f>E20+1</f>
        <v>2023</v>
      </c>
      <c r="H20" s="749" t="s">
        <v>112</v>
      </c>
      <c r="I20" s="749">
        <f>G20+1</f>
        <v>2024</v>
      </c>
      <c r="J20" s="749" t="s">
        <v>112</v>
      </c>
      <c r="K20" s="749">
        <f>I20+1</f>
        <v>2025</v>
      </c>
      <c r="L20" s="764" t="s">
        <v>112</v>
      </c>
    </row>
    <row r="21" spans="1:12" s="12" customFormat="1" ht="15.75" customHeight="1">
      <c r="A21" s="771"/>
      <c r="B21" s="773"/>
      <c r="C21" s="773"/>
      <c r="D21" s="773"/>
      <c r="E21" s="773"/>
      <c r="F21" s="751"/>
      <c r="G21" s="751"/>
      <c r="H21" s="751"/>
      <c r="I21" s="751"/>
      <c r="J21" s="751"/>
      <c r="K21" s="751"/>
      <c r="L21" s="766"/>
    </row>
    <row r="22" spans="1:12" ht="12.75">
      <c r="A22" s="225" t="s">
        <v>76</v>
      </c>
      <c r="B22" s="406">
        <f>B10*((1+Parâmetros!C11)*(1+Parâmetros!D11))</f>
        <v>145773436.06131798</v>
      </c>
      <c r="C22" s="426">
        <f>C10*(1+Parâmetros!D11)</f>
        <v>142044671.983394</v>
      </c>
      <c r="D22" s="252">
        <f>IF(B22=0,"-",(C22/B22)-1)</f>
        <v>-0.02557917394740916</v>
      </c>
      <c r="E22" s="426">
        <f>E10</f>
        <v>150631052.74</v>
      </c>
      <c r="F22" s="252">
        <f>IF(C22=0,"-",(E22/C22)-1)</f>
        <v>0.06044845355135764</v>
      </c>
      <c r="G22" s="406">
        <f>'Metas Cons'!C11</f>
        <v>150518276.9291417</v>
      </c>
      <c r="H22" s="252">
        <f>IF(E22=0,"-",(G22/E22)-1)</f>
        <v>-0.0007486889907950545</v>
      </c>
      <c r="I22" s="253">
        <f>'Metas Cons'!G11</f>
        <v>151169269.63538855</v>
      </c>
      <c r="J22" s="252">
        <f>IF(G22=0,"-",(I22/G22)-1)</f>
        <v>0.004325007696927896</v>
      </c>
      <c r="K22" s="253">
        <f>'Metas Cons'!K11</f>
        <v>152508087.97948262</v>
      </c>
      <c r="L22" s="252">
        <f>IF(I22=0,"-",(K22/I22)-1)</f>
        <v>0.00885641868432141</v>
      </c>
    </row>
    <row r="23" spans="1:12" ht="12.75">
      <c r="A23" s="225" t="s">
        <v>118</v>
      </c>
      <c r="B23" s="406">
        <f>B11*((1+Parâmetros!C11)*(1+Parâmetros!D11))</f>
        <v>138649144.43252695</v>
      </c>
      <c r="C23" s="426">
        <f>C11*(1+Parâmetros!D11)</f>
        <v>135157072.82222998</v>
      </c>
      <c r="D23" s="252">
        <f aca="true" t="shared" si="5" ref="D23:D29">IF(B23=0,"-",(C23/B23)-1)</f>
        <v>-0.025186391337570502</v>
      </c>
      <c r="E23" s="426">
        <f>E11</f>
        <v>139682350.96</v>
      </c>
      <c r="F23" s="252">
        <f>IF(C23=0,"-",(E23/C23)-1)</f>
        <v>0.03348162285019329</v>
      </c>
      <c r="G23" s="407">
        <f>'Metas Cons'!C12</f>
        <v>146639541.48423496</v>
      </c>
      <c r="H23" s="252">
        <f aca="true" t="shared" si="6" ref="H23:H29">IF(E23=0,"-",(G23/E23)-1)</f>
        <v>0.04980722672850235</v>
      </c>
      <c r="I23" s="255">
        <f>'Metas Cons'!G12</f>
        <v>147214346.72797212</v>
      </c>
      <c r="J23" s="252">
        <f aca="true" t="shared" si="7" ref="J23:J29">IF(G23=0,"-",(I23/G23)-1)</f>
        <v>0.003919851616550174</v>
      </c>
      <c r="K23" s="255">
        <f>'Metas Cons'!K12</f>
        <v>148476117.60044387</v>
      </c>
      <c r="L23" s="252">
        <f aca="true" t="shared" si="8" ref="L23:L29">IF(I23=0,"-",(K23/I23)-1)</f>
        <v>0.008570977628989507</v>
      </c>
    </row>
    <row r="24" spans="1:12" ht="12.75">
      <c r="A24" s="225" t="s">
        <v>77</v>
      </c>
      <c r="B24" s="406">
        <f>B12*((1+Parâmetros!C11)*(1+Parâmetros!D11))</f>
        <v>149783460.59593144</v>
      </c>
      <c r="C24" s="426">
        <f>C12*(1+Parâmetros!D11)</f>
        <v>142281447.808954</v>
      </c>
      <c r="D24" s="252">
        <f t="shared" si="5"/>
        <v>-0.050085722129331156</v>
      </c>
      <c r="E24" s="426">
        <f>E12</f>
        <v>155073365.24</v>
      </c>
      <c r="F24" s="252">
        <f aca="true" t="shared" si="9" ref="F24:F29">IF(C24=0,"-",(E24/C24)-1)</f>
        <v>0.08990573000228497</v>
      </c>
      <c r="G24" s="407">
        <f>'Metas Cons'!C19</f>
        <v>154325046.75287834</v>
      </c>
      <c r="H24" s="252">
        <f t="shared" si="6"/>
        <v>-0.004825577145137316</v>
      </c>
      <c r="I24" s="255">
        <f>'Metas Cons'!G19</f>
        <v>153384427.469272</v>
      </c>
      <c r="J24" s="252">
        <f t="shared" si="7"/>
        <v>-0.00609505263985155</v>
      </c>
      <c r="K24" s="255">
        <f>'Metas Cons'!K19</f>
        <v>156608645.9017603</v>
      </c>
      <c r="L24" s="252">
        <f t="shared" si="8"/>
        <v>0.02102050700768987</v>
      </c>
    </row>
    <row r="25" spans="1:12" ht="12.75">
      <c r="A25" s="225" t="s">
        <v>114</v>
      </c>
      <c r="B25" s="406">
        <f>B13*((1+Parâmetros!C11)*(1+Parâmetros!D11))</f>
        <v>148433026.3327574</v>
      </c>
      <c r="C25" s="426">
        <f>C13*(1+Parâmetros!D11)</f>
        <v>142201186.301732</v>
      </c>
      <c r="D25" s="252">
        <f t="shared" si="5"/>
        <v>-0.041984187650091154</v>
      </c>
      <c r="E25" s="426">
        <f>E13</f>
        <v>154441465.51000002</v>
      </c>
      <c r="F25" s="252">
        <f t="shared" si="9"/>
        <v>0.08607719475909126</v>
      </c>
      <c r="G25" s="407">
        <f>'Metas Cons'!C20</f>
        <v>153871949.35533184</v>
      </c>
      <c r="H25" s="252">
        <f t="shared" si="6"/>
        <v>-0.003687585796906978</v>
      </c>
      <c r="I25" s="255">
        <f>'Metas Cons'!G20</f>
        <v>152906214.93695357</v>
      </c>
      <c r="J25" s="252">
        <f t="shared" si="7"/>
        <v>-0.006276221380338232</v>
      </c>
      <c r="K25" s="255">
        <f>'Metas Cons'!K20</f>
        <v>156180191.16806918</v>
      </c>
      <c r="L25" s="252">
        <f t="shared" si="8"/>
        <v>0.02141166225627611</v>
      </c>
    </row>
    <row r="26" spans="1:12" ht="12.75">
      <c r="A26" s="225" t="s">
        <v>78</v>
      </c>
      <c r="B26" s="406">
        <f>B23-B25</f>
        <v>-9783881.900230467</v>
      </c>
      <c r="C26" s="255">
        <f>C23-C25</f>
        <v>-7044113.479502022</v>
      </c>
      <c r="D26" s="252">
        <f t="shared" si="5"/>
        <v>-0.28002877065226095</v>
      </c>
      <c r="E26" s="407">
        <f>E23-E25</f>
        <v>-14759114.550000012</v>
      </c>
      <c r="F26" s="252">
        <f t="shared" si="9"/>
        <v>1.0952408834622287</v>
      </c>
      <c r="G26" s="255">
        <f>'Metas Cons'!C27</f>
        <v>-7232407.871096897</v>
      </c>
      <c r="H26" s="252">
        <f t="shared" si="6"/>
        <v>-0.5099700699120266</v>
      </c>
      <c r="I26" s="255">
        <f>'Metas Cons'!G27</f>
        <v>-5691868.208981437</v>
      </c>
      <c r="J26" s="252">
        <f t="shared" si="7"/>
        <v>-0.21300508621367553</v>
      </c>
      <c r="K26" s="255">
        <f>'Metas Cons'!K27</f>
        <v>-7704073.567625302</v>
      </c>
      <c r="L26" s="252">
        <f t="shared" si="8"/>
        <v>0.3535228302490776</v>
      </c>
    </row>
    <row r="27" spans="1:12" ht="12.75">
      <c r="A27" s="225" t="s">
        <v>79</v>
      </c>
      <c r="B27" s="406">
        <f>B15*((1+Parâmetros!C11)*(1+Parâmetros!D11))</f>
        <v>0</v>
      </c>
      <c r="C27" s="247">
        <f>C15*(1+Parâmetros!D11)</f>
        <v>0</v>
      </c>
      <c r="D27" s="252" t="str">
        <f t="shared" si="5"/>
        <v>-</v>
      </c>
      <c r="E27" s="426">
        <f>E15</f>
        <v>0</v>
      </c>
      <c r="F27" s="252" t="str">
        <f t="shared" si="9"/>
        <v>-</v>
      </c>
      <c r="G27" s="255">
        <f>'Metas Cons'!C30</f>
        <v>-7232407.871096897</v>
      </c>
      <c r="H27" s="252" t="str">
        <f t="shared" si="6"/>
        <v>-</v>
      </c>
      <c r="I27" s="255">
        <f>'Metas Cons'!G30</f>
        <v>-5691868.208981437</v>
      </c>
      <c r="J27" s="252">
        <f t="shared" si="7"/>
        <v>-0.21300508621367553</v>
      </c>
      <c r="K27" s="255">
        <f>'Metas Cons'!K30</f>
        <v>-7704073.567625302</v>
      </c>
      <c r="L27" s="252">
        <f t="shared" si="8"/>
        <v>0.3535228302490776</v>
      </c>
    </row>
    <row r="28" spans="1:12" ht="12.75">
      <c r="A28" s="225" t="s">
        <v>80</v>
      </c>
      <c r="B28" s="406">
        <f>B16*((1+Parâmetros!C11)*(1+Parâmetros!D11))</f>
        <v>0</v>
      </c>
      <c r="C28" s="247">
        <f>C16*(1+Parâmetros!D11)</f>
        <v>0</v>
      </c>
      <c r="D28" s="252" t="str">
        <f t="shared" si="5"/>
        <v>-</v>
      </c>
      <c r="E28" s="426">
        <f>E16</f>
        <v>1133247.92</v>
      </c>
      <c r="F28" s="252" t="str">
        <f t="shared" si="9"/>
        <v>-</v>
      </c>
      <c r="G28" s="255">
        <f>'Metas Cons'!C31</f>
        <v>1199403.0707652897</v>
      </c>
      <c r="H28" s="252">
        <f t="shared" si="6"/>
        <v>0.05837659138636653</v>
      </c>
      <c r="I28" s="255">
        <f>'Metas Cons'!G31</f>
        <v>1030113.5941472828</v>
      </c>
      <c r="J28" s="252">
        <f t="shared" si="7"/>
        <v>-0.14114477505046763</v>
      </c>
      <c r="K28" s="255">
        <f>'Metas Cons'!K31</f>
        <v>1050868.9623140167</v>
      </c>
      <c r="L28" s="252">
        <f t="shared" si="8"/>
        <v>0.020148620777997728</v>
      </c>
    </row>
    <row r="29" spans="1:12" ht="12.75">
      <c r="A29" s="226" t="s">
        <v>74</v>
      </c>
      <c r="B29" s="406">
        <f>B17*((1+Parâmetros!C11)*(1+Parâmetros!D11))</f>
        <v>0</v>
      </c>
      <c r="C29" s="247">
        <f>C17*(1+Parâmetros!D11)</f>
        <v>0</v>
      </c>
      <c r="D29" s="252" t="str">
        <f t="shared" si="5"/>
        <v>-</v>
      </c>
      <c r="E29" s="426">
        <f>E17</f>
        <v>-19985370.720000003</v>
      </c>
      <c r="F29" s="252" t="str">
        <f t="shared" si="9"/>
        <v>-</v>
      </c>
      <c r="G29" s="256">
        <f>'Metas Cons'!C32</f>
        <v>-1565985.6516170364</v>
      </c>
      <c r="H29" s="252">
        <f t="shared" si="6"/>
        <v>-0.9216434023888331</v>
      </c>
      <c r="I29" s="253">
        <f>'Metas Cons'!G32</f>
        <v>-5169891.187207359</v>
      </c>
      <c r="J29" s="252">
        <f t="shared" si="7"/>
        <v>2.3013656171555152</v>
      </c>
      <c r="K29" s="253">
        <f>'Metas Cons'!K32</f>
        <v>-8184552.608873846</v>
      </c>
      <c r="L29" s="252">
        <f t="shared" si="8"/>
        <v>0.5831189308444475</v>
      </c>
    </row>
    <row r="30" spans="1:12" ht="12.75">
      <c r="A30" s="758" t="s">
        <v>185</v>
      </c>
      <c r="B30" s="758"/>
      <c r="C30" s="758"/>
      <c r="D30" s="758"/>
      <c r="E30" s="758"/>
      <c r="F30" s="758"/>
      <c r="G30" s="758"/>
      <c r="H30" s="758"/>
      <c r="I30" s="758"/>
      <c r="J30" s="758"/>
      <c r="K30" s="758"/>
      <c r="L30" s="758"/>
    </row>
    <row r="44" spans="2:12" ht="23.25" customHeight="1">
      <c r="B44" s="308"/>
      <c r="C44" s="432" t="s">
        <v>656</v>
      </c>
      <c r="D44" s="308"/>
      <c r="E44" s="308"/>
      <c r="F44" s="1"/>
      <c r="G44" s="432" t="s">
        <v>653</v>
      </c>
      <c r="I44" s="308"/>
      <c r="J44" s="308"/>
      <c r="K44" s="432" t="s">
        <v>654</v>
      </c>
      <c r="L44" s="308"/>
    </row>
    <row r="45" spans="2:12" ht="14.25" customHeight="1">
      <c r="B45" s="308"/>
      <c r="C45" s="432" t="s">
        <v>662</v>
      </c>
      <c r="D45" s="308"/>
      <c r="E45" s="308"/>
      <c r="F45" s="1"/>
      <c r="G45" s="432" t="s">
        <v>657</v>
      </c>
      <c r="I45" s="308"/>
      <c r="J45" s="308"/>
      <c r="K45" s="432" t="s">
        <v>661</v>
      </c>
      <c r="L45" s="308"/>
    </row>
    <row r="46" spans="2:12" ht="11.25" customHeight="1">
      <c r="B46" s="308"/>
      <c r="C46" s="432" t="s">
        <v>658</v>
      </c>
      <c r="D46" s="308"/>
      <c r="E46" s="308"/>
      <c r="F46" s="1"/>
      <c r="G46" s="432" t="s">
        <v>659</v>
      </c>
      <c r="I46" s="308"/>
      <c r="J46" s="308"/>
      <c r="K46" s="432" t="s">
        <v>660</v>
      </c>
      <c r="L46" s="308"/>
    </row>
  </sheetData>
  <sheetProtection/>
  <mergeCells count="34">
    <mergeCell ref="B19:L19"/>
    <mergeCell ref="E20:E21"/>
    <mergeCell ref="F8:F9"/>
    <mergeCell ref="G8:G9"/>
    <mergeCell ref="H8:H9"/>
    <mergeCell ref="D8:D9"/>
    <mergeCell ref="I8:I9"/>
    <mergeCell ref="A1:L1"/>
    <mergeCell ref="A2:L2"/>
    <mergeCell ref="A3:L3"/>
    <mergeCell ref="A4:L4"/>
    <mergeCell ref="B7:L7"/>
    <mergeCell ref="L20:L21"/>
    <mergeCell ref="G20:G21"/>
    <mergeCell ref="H20:H21"/>
    <mergeCell ref="A20:A21"/>
    <mergeCell ref="B20:B21"/>
    <mergeCell ref="A30:L30"/>
    <mergeCell ref="F20:F21"/>
    <mergeCell ref="I20:I21"/>
    <mergeCell ref="J20:J21"/>
    <mergeCell ref="K20:K21"/>
    <mergeCell ref="A6:B6"/>
    <mergeCell ref="E8:E9"/>
    <mergeCell ref="C20:C21"/>
    <mergeCell ref="D20:D21"/>
    <mergeCell ref="A18:L18"/>
    <mergeCell ref="A5:L5"/>
    <mergeCell ref="J8:J9"/>
    <mergeCell ref="K8:K9"/>
    <mergeCell ref="L8:L9"/>
    <mergeCell ref="A8:A9"/>
    <mergeCell ref="B8:B9"/>
    <mergeCell ref="C8:C9"/>
  </mergeCells>
  <printOptions/>
  <pageMargins left="0.7874015748031497" right="0.5905511811023623" top="0.984251968503937" bottom="0.5905511811023623" header="0.5118110236220472" footer="0.11811023622047245"/>
  <pageSetup horizontalDpi="300" verticalDpi="300" orientation="landscape" paperSize="9" scale="76"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codeName="Plan14"/>
  <dimension ref="A1:I69"/>
  <sheetViews>
    <sheetView view="pageBreakPreview" zoomScale="90" zoomScaleSheetLayoutView="90" zoomScalePageLayoutView="0" workbookViewId="0" topLeftCell="A19">
      <selection activeCell="A5" sqref="A5:G5"/>
    </sheetView>
  </sheetViews>
  <sheetFormatPr defaultColWidth="9.140625" defaultRowHeight="12.75"/>
  <cols>
    <col min="1" max="1" width="26.7109375" style="11" customWidth="1"/>
    <col min="2" max="2" width="17.57421875" style="11" customWidth="1"/>
    <col min="3" max="3" width="10.140625" style="11" customWidth="1"/>
    <col min="4" max="4" width="16.140625" style="11" customWidth="1"/>
    <col min="5" max="5" width="10.421875" style="11" customWidth="1"/>
    <col min="6" max="6" width="15.421875" style="11" customWidth="1"/>
    <col min="7" max="7" width="10.7109375" style="11" customWidth="1"/>
    <col min="8" max="8" width="9.140625" style="11" customWidth="1"/>
    <col min="9" max="9" width="14.421875" style="11" customWidth="1"/>
    <col min="10" max="16384" width="9.140625" style="11" customWidth="1"/>
  </cols>
  <sheetData>
    <row r="1" spans="1:7" ht="15.75">
      <c r="A1" s="785" t="str">
        <f>Parâmetros!A7</f>
        <v>Município de : Caçapava do Sul / RS.</v>
      </c>
      <c r="B1" s="781"/>
      <c r="C1" s="781"/>
      <c r="D1" s="781"/>
      <c r="E1" s="781"/>
      <c r="F1" s="781"/>
      <c r="G1" s="782"/>
    </row>
    <row r="2" spans="1:7" ht="15.75">
      <c r="A2" s="780" t="s">
        <v>36</v>
      </c>
      <c r="B2" s="781"/>
      <c r="C2" s="781"/>
      <c r="D2" s="781"/>
      <c r="E2" s="781"/>
      <c r="F2" s="781"/>
      <c r="G2" s="782"/>
    </row>
    <row r="3" spans="1:7" ht="15.75">
      <c r="A3" s="780" t="s">
        <v>144</v>
      </c>
      <c r="B3" s="781"/>
      <c r="C3" s="781"/>
      <c r="D3" s="781"/>
      <c r="E3" s="781"/>
      <c r="F3" s="781"/>
      <c r="G3" s="782"/>
    </row>
    <row r="4" spans="1:7" ht="15.75">
      <c r="A4" s="789" t="s">
        <v>407</v>
      </c>
      <c r="B4" s="790"/>
      <c r="C4" s="790"/>
      <c r="D4" s="790"/>
      <c r="E4" s="790"/>
      <c r="F4" s="790"/>
      <c r="G4" s="791"/>
    </row>
    <row r="5" spans="1:7" ht="15.75">
      <c r="A5" s="780" t="s">
        <v>625</v>
      </c>
      <c r="B5" s="781"/>
      <c r="C5" s="781"/>
      <c r="D5" s="781"/>
      <c r="E5" s="781"/>
      <c r="F5" s="781"/>
      <c r="G5" s="782"/>
    </row>
    <row r="6" spans="1:7" ht="15.75">
      <c r="A6" s="780"/>
      <c r="B6" s="781"/>
      <c r="C6" s="781"/>
      <c r="D6" s="781"/>
      <c r="E6" s="781"/>
      <c r="F6" s="781"/>
      <c r="G6" s="782"/>
    </row>
    <row r="7" spans="1:7" ht="15.75">
      <c r="A7" s="787" t="s">
        <v>414</v>
      </c>
      <c r="B7" s="788"/>
      <c r="C7" s="227"/>
      <c r="D7" s="227"/>
      <c r="E7" s="227"/>
      <c r="F7" s="227"/>
      <c r="G7" s="230">
        <v>1</v>
      </c>
    </row>
    <row r="8" spans="1:7" s="12" customFormat="1" ht="25.5" customHeight="1">
      <c r="A8" s="231" t="s">
        <v>82</v>
      </c>
      <c r="B8" s="231">
        <f>Parâmetros!C10</f>
        <v>2021</v>
      </c>
      <c r="C8" s="231" t="s">
        <v>13</v>
      </c>
      <c r="D8" s="231">
        <f>B8-1</f>
        <v>2020</v>
      </c>
      <c r="E8" s="231" t="s">
        <v>13</v>
      </c>
      <c r="F8" s="231">
        <f>D8-1</f>
        <v>2019</v>
      </c>
      <c r="G8" s="232" t="s">
        <v>13</v>
      </c>
    </row>
    <row r="9" spans="1:7" ht="15.75">
      <c r="A9" s="233" t="s">
        <v>83</v>
      </c>
      <c r="B9" s="257">
        <f>D13</f>
        <v>37958054.629999995</v>
      </c>
      <c r="C9" s="258">
        <f>IF(B13=0,"-",(B9/B13))</f>
        <v>0.8781746083235139</v>
      </c>
      <c r="D9" s="257">
        <f>F13</f>
        <v>27711212.759999998</v>
      </c>
      <c r="E9" s="258">
        <f>IF(D13=0,"-",(D9/D13))</f>
        <v>0.7300482869872512</v>
      </c>
      <c r="F9" s="348">
        <f>23527408.22</f>
        <v>23527408.22</v>
      </c>
      <c r="G9" s="258">
        <f>IF(F13=0,"-",(F9/F13))</f>
        <v>0.8490212400216872</v>
      </c>
    </row>
    <row r="10" spans="1:7" ht="15.75">
      <c r="A10" s="233" t="s">
        <v>41</v>
      </c>
      <c r="B10" s="263">
        <v>0</v>
      </c>
      <c r="C10" s="258">
        <f>IF(B13=0,"-",(B10/B13))</f>
        <v>0</v>
      </c>
      <c r="D10" s="263">
        <v>0</v>
      </c>
      <c r="E10" s="258">
        <f>IF(D13=0,"-",(D10/D13))</f>
        <v>0</v>
      </c>
      <c r="F10" s="228">
        <v>0</v>
      </c>
      <c r="G10" s="258">
        <f>IF(F13=0,"-",(F10/F13))</f>
        <v>0</v>
      </c>
    </row>
    <row r="11" spans="1:7" ht="15.75">
      <c r="A11" s="234" t="s">
        <v>84</v>
      </c>
      <c r="B11" s="229">
        <f>5265757.89</f>
        <v>5265757.89</v>
      </c>
      <c r="C11" s="261">
        <f>IF(B13=0,"-",(B11/B13))</f>
        <v>0.12182539167648603</v>
      </c>
      <c r="D11" s="229">
        <f>10246841.87</f>
        <v>10246841.87</v>
      </c>
      <c r="E11" s="261">
        <f>IF(D13=0,"-",(D11/D13))</f>
        <v>0.2699517130127488</v>
      </c>
      <c r="F11" s="229">
        <f>4183804.54</f>
        <v>4183804.54</v>
      </c>
      <c r="G11" s="261">
        <f>IF(F13=0,"-",(F11/F13))</f>
        <v>0.15097875997831284</v>
      </c>
    </row>
    <row r="12" spans="1:7" ht="15.75">
      <c r="A12" s="234" t="s">
        <v>626</v>
      </c>
      <c r="B12" s="229">
        <v>0</v>
      </c>
      <c r="C12" s="261">
        <f>IF(B13=0,"-",(B12/B13))</f>
        <v>0</v>
      </c>
      <c r="D12" s="229">
        <v>0</v>
      </c>
      <c r="E12" s="261">
        <f>IF(D13=0,"-",(D12/D13))</f>
        <v>0</v>
      </c>
      <c r="F12" s="229">
        <v>0</v>
      </c>
      <c r="G12" s="261">
        <f>IF(F13=0,"-",(F12/F13))</f>
        <v>0</v>
      </c>
    </row>
    <row r="13" spans="1:7" ht="15.75">
      <c r="A13" s="235" t="s">
        <v>85</v>
      </c>
      <c r="B13" s="262">
        <f aca="true" t="shared" si="0" ref="B13:G13">SUM(B9:B12)</f>
        <v>43223812.519999996</v>
      </c>
      <c r="C13" s="261">
        <f t="shared" si="0"/>
        <v>0.9999999999999999</v>
      </c>
      <c r="D13" s="262">
        <f t="shared" si="0"/>
        <v>37958054.629999995</v>
      </c>
      <c r="E13" s="261">
        <f t="shared" si="0"/>
        <v>1</v>
      </c>
      <c r="F13" s="262">
        <f t="shared" si="0"/>
        <v>27711212.759999998</v>
      </c>
      <c r="G13" s="261">
        <f t="shared" si="0"/>
        <v>1</v>
      </c>
    </row>
    <row r="14" spans="1:7" ht="15.75">
      <c r="A14" s="786"/>
      <c r="B14" s="786"/>
      <c r="C14" s="786"/>
      <c r="D14" s="786"/>
      <c r="E14" s="786"/>
      <c r="F14" s="786"/>
      <c r="G14" s="786"/>
    </row>
    <row r="15" spans="1:7" ht="15.75" customHeight="1">
      <c r="A15" s="783" t="s">
        <v>86</v>
      </c>
      <c r="B15" s="783"/>
      <c r="C15" s="783"/>
      <c r="D15" s="783"/>
      <c r="E15" s="783"/>
      <c r="F15" s="783"/>
      <c r="G15" s="783"/>
    </row>
    <row r="16" spans="1:7" s="12" customFormat="1" ht="25.5" customHeight="1">
      <c r="A16" s="231" t="s">
        <v>82</v>
      </c>
      <c r="B16" s="231">
        <f>Parâmetros!C10</f>
        <v>2021</v>
      </c>
      <c r="C16" s="231" t="s">
        <v>13</v>
      </c>
      <c r="D16" s="231">
        <f>B16-1</f>
        <v>2020</v>
      </c>
      <c r="E16" s="231" t="s">
        <v>13</v>
      </c>
      <c r="F16" s="231">
        <f>D16-1</f>
        <v>2019</v>
      </c>
      <c r="G16" s="232" t="s">
        <v>13</v>
      </c>
    </row>
    <row r="17" spans="1:7" ht="15.75">
      <c r="A17" s="233" t="s">
        <v>83</v>
      </c>
      <c r="B17" s="257">
        <f>D21</f>
        <v>16299786.469999999</v>
      </c>
      <c r="C17" s="258">
        <f>IF(B21=0,"-",(B17/B21))</f>
        <v>-0.18371945865108458</v>
      </c>
      <c r="D17" s="257">
        <f>F21</f>
        <v>14117345.719999999</v>
      </c>
      <c r="E17" s="258">
        <f>IF(D21=0,"-",(D17/D21))</f>
        <v>0.866106175438751</v>
      </c>
      <c r="F17" s="348">
        <f>7443096.59</f>
        <v>7443096.59</v>
      </c>
      <c r="G17" s="258">
        <f>IF(F21=0,"-",(F17/F21))</f>
        <v>0.5272305954408546</v>
      </c>
    </row>
    <row r="18" spans="1:7" ht="15.75">
      <c r="A18" s="233" t="s">
        <v>41</v>
      </c>
      <c r="B18" s="228">
        <v>0</v>
      </c>
      <c r="C18" s="258">
        <f>IF(B21=0,"-",(B18/B21))</f>
        <v>0</v>
      </c>
      <c r="D18" s="228">
        <v>0</v>
      </c>
      <c r="E18" s="258">
        <f>IF(D21=0,"-",(D18/D21))</f>
        <v>0</v>
      </c>
      <c r="F18" s="228">
        <v>0</v>
      </c>
      <c r="G18" s="258">
        <f>IF(F21=0,"-",(F18/F21))</f>
        <v>0</v>
      </c>
    </row>
    <row r="19" spans="1:7" ht="15.75">
      <c r="A19" s="234" t="s">
        <v>84</v>
      </c>
      <c r="B19" s="229">
        <f>-105020853.85</f>
        <v>-105020853.85</v>
      </c>
      <c r="C19" s="261">
        <f>IF(B21=0,"-",(B19/B21))</f>
        <v>1.1837194586510846</v>
      </c>
      <c r="D19" s="229">
        <f>2182440.75</f>
        <v>2182440.75</v>
      </c>
      <c r="E19" s="261">
        <f>IF(D21=0,"-",(D19/D21))</f>
        <v>0.13389382456124901</v>
      </c>
      <c r="F19" s="229">
        <f>6674249.13</f>
        <v>6674249.13</v>
      </c>
      <c r="G19" s="261">
        <f>IF(F21=0,"-",(F19/F21))</f>
        <v>0.47276940455914546</v>
      </c>
    </row>
    <row r="20" spans="1:9" ht="15.75">
      <c r="A20" s="234" t="s">
        <v>626</v>
      </c>
      <c r="B20" s="229">
        <v>0</v>
      </c>
      <c r="C20" s="261">
        <f>IF(B21=0,"-",(B20/B21))</f>
        <v>0</v>
      </c>
      <c r="D20" s="229">
        <v>0</v>
      </c>
      <c r="E20" s="261">
        <f>IF(D21=0,"-",(D20/D21))</f>
        <v>0</v>
      </c>
      <c r="F20" s="229">
        <v>0</v>
      </c>
      <c r="G20" s="261">
        <f>IF(F21=0,"-",(F20/F21))</f>
        <v>0</v>
      </c>
      <c r="I20" s="302"/>
    </row>
    <row r="21" spans="1:7" ht="15.75">
      <c r="A21" s="235" t="s">
        <v>85</v>
      </c>
      <c r="B21" s="262">
        <f aca="true" t="shared" si="1" ref="B21:G21">SUM(B17:B20)</f>
        <v>-88721067.38</v>
      </c>
      <c r="C21" s="261">
        <f t="shared" si="1"/>
        <v>1</v>
      </c>
      <c r="D21" s="262">
        <f t="shared" si="1"/>
        <v>16299786.469999999</v>
      </c>
      <c r="E21" s="261">
        <f t="shared" si="1"/>
        <v>1</v>
      </c>
      <c r="F21" s="262">
        <f t="shared" si="1"/>
        <v>14117345.719999999</v>
      </c>
      <c r="G21" s="261">
        <f t="shared" si="1"/>
        <v>1</v>
      </c>
    </row>
    <row r="22" spans="1:7" ht="15.75">
      <c r="A22" s="784"/>
      <c r="B22" s="784"/>
      <c r="C22" s="784"/>
      <c r="D22" s="784"/>
      <c r="E22" s="784"/>
      <c r="F22" s="784"/>
      <c r="G22" s="784"/>
    </row>
    <row r="23" spans="1:7" ht="15.75" customHeight="1">
      <c r="A23" s="783" t="s">
        <v>165</v>
      </c>
      <c r="B23" s="783"/>
      <c r="C23" s="783"/>
      <c r="D23" s="783"/>
      <c r="E23" s="783"/>
      <c r="F23" s="783"/>
      <c r="G23" s="783"/>
    </row>
    <row r="24" spans="1:7" s="12" customFormat="1" ht="25.5" customHeight="1">
      <c r="A24" s="231" t="s">
        <v>82</v>
      </c>
      <c r="B24" s="231">
        <f>Parâmetros!C10</f>
        <v>2021</v>
      </c>
      <c r="C24" s="231" t="s">
        <v>13</v>
      </c>
      <c r="D24" s="231">
        <f>B24-1</f>
        <v>2020</v>
      </c>
      <c r="E24" s="231" t="s">
        <v>13</v>
      </c>
      <c r="F24" s="231">
        <f>D24-1</f>
        <v>2019</v>
      </c>
      <c r="G24" s="232" t="s">
        <v>13</v>
      </c>
    </row>
    <row r="25" spans="1:7" ht="15.75">
      <c r="A25" s="233" t="s">
        <v>83</v>
      </c>
      <c r="B25" s="257">
        <f>B9+B17</f>
        <v>54257841.099999994</v>
      </c>
      <c r="C25" s="258">
        <f>IF(B29=0,"-",(B25/B29))</f>
        <v>-1.192551974112664</v>
      </c>
      <c r="D25" s="257">
        <f>D9+D17</f>
        <v>41828558.48</v>
      </c>
      <c r="E25" s="258">
        <f>IF(D29=0,"-",(D25/D29))</f>
        <v>0.7709219097550861</v>
      </c>
      <c r="F25" s="257">
        <f>F9+F17</f>
        <v>30970504.81</v>
      </c>
      <c r="G25" s="258">
        <f>IF(F29=0,"-",(F25/F29))</f>
        <v>0.740415303214628</v>
      </c>
    </row>
    <row r="26" spans="1:7" ht="15.75">
      <c r="A26" s="233" t="s">
        <v>41</v>
      </c>
      <c r="B26" s="259">
        <f>B10+B18</f>
        <v>0</v>
      </c>
      <c r="C26" s="258">
        <f>IF(B29=0,"-",(B26/B29))</f>
        <v>0</v>
      </c>
      <c r="D26" s="259">
        <f>D10+D18</f>
        <v>0</v>
      </c>
      <c r="E26" s="258">
        <f>IF(D29=0,"-",(D26/D29))</f>
        <v>0</v>
      </c>
      <c r="F26" s="259">
        <f>F10+F18</f>
        <v>0</v>
      </c>
      <c r="G26" s="258">
        <f>IF(F29=0,"-",(F26/F29))</f>
        <v>0</v>
      </c>
    </row>
    <row r="27" spans="1:7" ht="15.75">
      <c r="A27" s="234" t="s">
        <v>84</v>
      </c>
      <c r="B27" s="260">
        <f>B11+B19</f>
        <v>-99755095.96</v>
      </c>
      <c r="C27" s="261">
        <f>IF(B29=0,"-",(B27/B29))</f>
        <v>2.192551974112664</v>
      </c>
      <c r="D27" s="260">
        <f>D11+D19</f>
        <v>12429282.62</v>
      </c>
      <c r="E27" s="261">
        <f>IF(D29=0,"-",(D27/D29))</f>
        <v>0.22907809024491393</v>
      </c>
      <c r="F27" s="260">
        <f>F11+F19</f>
        <v>10858053.67</v>
      </c>
      <c r="G27" s="261">
        <f>IF(F29=0,"-",(F27/F29))</f>
        <v>0.259584696785372</v>
      </c>
    </row>
    <row r="28" spans="1:9" ht="15.75">
      <c r="A28" s="234" t="s">
        <v>626</v>
      </c>
      <c r="B28" s="260">
        <f>B12+B20</f>
        <v>0</v>
      </c>
      <c r="C28" s="261">
        <f>IF(B29=0,"-",(B28/B29))</f>
        <v>0</v>
      </c>
      <c r="D28" s="260">
        <f>D12+D20</f>
        <v>0</v>
      </c>
      <c r="E28" s="261">
        <f>IF(D29=0,"-",(D28/D29))</f>
        <v>0</v>
      </c>
      <c r="F28" s="260">
        <f>F12+F20</f>
        <v>0</v>
      </c>
      <c r="G28" s="261">
        <f>IF(F29=0,"-",(F28/F29))</f>
        <v>0</v>
      </c>
      <c r="I28" s="345"/>
    </row>
    <row r="29" spans="1:7" ht="15.75">
      <c r="A29" s="235" t="s">
        <v>85</v>
      </c>
      <c r="B29" s="262">
        <f aca="true" t="shared" si="2" ref="B29:G29">SUM(B25:B28)</f>
        <v>-45497254.86</v>
      </c>
      <c r="C29" s="261">
        <f>SUM(C25:C28)</f>
        <v>0.9999999999999998</v>
      </c>
      <c r="D29" s="262">
        <f t="shared" si="2"/>
        <v>54257841.099999994</v>
      </c>
      <c r="E29" s="261">
        <f t="shared" si="2"/>
        <v>1</v>
      </c>
      <c r="F29" s="262">
        <f t="shared" si="2"/>
        <v>41828558.48</v>
      </c>
      <c r="G29" s="261">
        <f t="shared" si="2"/>
        <v>1</v>
      </c>
    </row>
    <row r="30" spans="1:7" ht="15.75">
      <c r="A30" s="778" t="s">
        <v>185</v>
      </c>
      <c r="B30" s="779"/>
      <c r="C30" s="779"/>
      <c r="D30" s="779"/>
      <c r="E30" s="779"/>
      <c r="F30" s="779"/>
      <c r="G30" s="779"/>
    </row>
    <row r="34" ht="12.75">
      <c r="I34" s="302"/>
    </row>
    <row r="44" ht="12.75">
      <c r="H44" s="11" t="s">
        <v>532</v>
      </c>
    </row>
    <row r="67" spans="1:5" ht="12.75">
      <c r="A67" s="432" t="s">
        <v>656</v>
      </c>
      <c r="C67" s="432" t="s">
        <v>653</v>
      </c>
      <c r="E67" s="432" t="s">
        <v>654</v>
      </c>
    </row>
    <row r="68" spans="1:5" ht="12.75">
      <c r="A68" s="11" t="s">
        <v>655</v>
      </c>
      <c r="C68" s="432" t="s">
        <v>657</v>
      </c>
      <c r="E68" s="432" t="s">
        <v>661</v>
      </c>
    </row>
    <row r="69" spans="1:5" ht="12.75">
      <c r="A69" s="11" t="s">
        <v>658</v>
      </c>
      <c r="C69" s="432" t="s">
        <v>659</v>
      </c>
      <c r="E69" s="432" t="s">
        <v>660</v>
      </c>
    </row>
  </sheetData>
  <sheetProtection/>
  <mergeCells count="12">
    <mergeCell ref="A4:G4"/>
    <mergeCell ref="A5:G5"/>
    <mergeCell ref="A30:G30"/>
    <mergeCell ref="A6:G6"/>
    <mergeCell ref="A23:G23"/>
    <mergeCell ref="A22:G22"/>
    <mergeCell ref="A1:G1"/>
    <mergeCell ref="A2:G2"/>
    <mergeCell ref="A14:G14"/>
    <mergeCell ref="A15:G15"/>
    <mergeCell ref="A7:B7"/>
    <mergeCell ref="A3:G3"/>
  </mergeCells>
  <printOptions/>
  <pageMargins left="0.787401575" right="0.787401575" top="0.984251969" bottom="0.984251969" header="0.492125985" footer="0.492125985"/>
  <pageSetup horizontalDpi="300" verticalDpi="300" orientation="portrait" scale="83" r:id="rId2"/>
  <drawing r:id="rId1"/>
</worksheet>
</file>

<file path=xl/worksheets/sheet13.xml><?xml version="1.0" encoding="utf-8"?>
<worksheet xmlns="http://schemas.openxmlformats.org/spreadsheetml/2006/main" xmlns:r="http://schemas.openxmlformats.org/officeDocument/2006/relationships">
  <sheetPr codeName="Plan15"/>
  <dimension ref="A1:F51"/>
  <sheetViews>
    <sheetView zoomScale="90" zoomScaleNormal="90" zoomScaleSheetLayoutView="90" zoomScalePageLayoutView="0" workbookViewId="0" topLeftCell="A1">
      <selection activeCell="E51" sqref="A1:E51"/>
    </sheetView>
  </sheetViews>
  <sheetFormatPr defaultColWidth="9.140625" defaultRowHeight="12.75"/>
  <cols>
    <col min="1" max="1" width="49.8515625" style="13" customWidth="1"/>
    <col min="2" max="3" width="14.7109375" style="13" customWidth="1"/>
    <col min="4" max="4" width="15.7109375" style="13" customWidth="1"/>
    <col min="5" max="16384" width="9.140625" style="13" customWidth="1"/>
  </cols>
  <sheetData>
    <row r="1" spans="1:4" ht="14.25">
      <c r="A1" s="796" t="str">
        <f>Parâmetros!A7</f>
        <v>Município de : Caçapava do Sul / RS.</v>
      </c>
      <c r="B1" s="794"/>
      <c r="C1" s="794"/>
      <c r="D1" s="795"/>
    </row>
    <row r="2" spans="1:4" ht="14.25">
      <c r="A2" s="793" t="s">
        <v>36</v>
      </c>
      <c r="B2" s="794"/>
      <c r="C2" s="794"/>
      <c r="D2" s="795"/>
    </row>
    <row r="3" spans="1:4" ht="14.25">
      <c r="A3" s="793" t="s">
        <v>144</v>
      </c>
      <c r="B3" s="794"/>
      <c r="C3" s="794"/>
      <c r="D3" s="795"/>
    </row>
    <row r="4" spans="1:4" ht="15">
      <c r="A4" s="797" t="s">
        <v>408</v>
      </c>
      <c r="B4" s="798"/>
      <c r="C4" s="798"/>
      <c r="D4" s="799"/>
    </row>
    <row r="5" spans="1:4" ht="14.25">
      <c r="A5" s="793" t="s">
        <v>619</v>
      </c>
      <c r="B5" s="794"/>
      <c r="C5" s="794"/>
      <c r="D5" s="795"/>
    </row>
    <row r="6" spans="1:4" ht="14.25">
      <c r="A6" s="793"/>
      <c r="B6" s="794"/>
      <c r="C6" s="794"/>
      <c r="D6" s="795"/>
    </row>
    <row r="7" spans="1:4" ht="14.25">
      <c r="A7" s="267" t="s">
        <v>413</v>
      </c>
      <c r="B7" s="268"/>
      <c r="C7" s="268"/>
      <c r="D7" s="269">
        <v>1</v>
      </c>
    </row>
    <row r="8" spans="1:4" s="14" customFormat="1" ht="25.5" customHeight="1">
      <c r="A8" s="270" t="s">
        <v>87</v>
      </c>
      <c r="B8" s="271">
        <f>Parâmetros!$C$10</f>
        <v>2021</v>
      </c>
      <c r="C8" s="271">
        <f>B8-1</f>
        <v>2020</v>
      </c>
      <c r="D8" s="272">
        <f>C8-1</f>
        <v>2019</v>
      </c>
    </row>
    <row r="9" spans="1:4" s="14" customFormat="1" ht="25.5" customHeight="1">
      <c r="A9" s="273" t="s">
        <v>627</v>
      </c>
      <c r="B9" s="298"/>
      <c r="C9" s="299"/>
      <c r="D9" s="274">
        <v>0</v>
      </c>
    </row>
    <row r="10" spans="1:4" ht="12.75" customHeight="1">
      <c r="A10" s="275" t="s">
        <v>533</v>
      </c>
      <c r="B10" s="276">
        <f>B11</f>
        <v>0</v>
      </c>
      <c r="C10" s="277">
        <f>C11</f>
        <v>0</v>
      </c>
      <c r="D10" s="277">
        <f>D11</f>
        <v>0</v>
      </c>
    </row>
    <row r="11" spans="1:4" ht="12.75" customHeight="1">
      <c r="A11" s="275" t="s">
        <v>534</v>
      </c>
      <c r="B11" s="277">
        <f>B12+B13+B14</f>
        <v>0</v>
      </c>
      <c r="C11" s="277">
        <f>C12+C13+C14</f>
        <v>0</v>
      </c>
      <c r="D11" s="277">
        <f>D12+D13+D14</f>
        <v>0</v>
      </c>
    </row>
    <row r="12" spans="1:4" ht="12.75" customHeight="1">
      <c r="A12" s="275" t="s">
        <v>88</v>
      </c>
      <c r="B12" s="278">
        <v>0</v>
      </c>
      <c r="C12" s="279">
        <v>0</v>
      </c>
      <c r="D12" s="279">
        <v>0</v>
      </c>
    </row>
    <row r="13" spans="1:4" ht="12.75" customHeight="1">
      <c r="A13" s="275" t="s">
        <v>89</v>
      </c>
      <c r="B13" s="278">
        <v>0</v>
      </c>
      <c r="C13" s="279">
        <v>0</v>
      </c>
      <c r="D13" s="279">
        <v>0</v>
      </c>
    </row>
    <row r="14" spans="1:4" ht="12.75" customHeight="1">
      <c r="A14" s="275" t="s">
        <v>535</v>
      </c>
      <c r="B14" s="278">
        <v>0</v>
      </c>
      <c r="C14" s="279">
        <v>0</v>
      </c>
      <c r="D14" s="279">
        <v>0</v>
      </c>
    </row>
    <row r="15" spans="1:4" ht="12.75" customHeight="1">
      <c r="A15" s="275" t="s">
        <v>133</v>
      </c>
      <c r="B15" s="280">
        <v>0</v>
      </c>
      <c r="C15" s="281">
        <v>0</v>
      </c>
      <c r="D15" s="281">
        <v>0</v>
      </c>
    </row>
    <row r="16" spans="1:4" ht="15">
      <c r="A16" s="306" t="s">
        <v>536</v>
      </c>
      <c r="B16" s="282">
        <f>B12+B13+B14+B15</f>
        <v>0</v>
      </c>
      <c r="C16" s="282">
        <f>C12+C13+C14+C15</f>
        <v>0</v>
      </c>
      <c r="D16" s="282">
        <f>D9+D10+D15</f>
        <v>0</v>
      </c>
    </row>
    <row r="17" spans="1:4" ht="14.25">
      <c r="A17" s="792"/>
      <c r="B17" s="792"/>
      <c r="C17" s="792"/>
      <c r="D17" s="792"/>
    </row>
    <row r="18" spans="1:4" s="14" customFormat="1" ht="14.25">
      <c r="A18" s="800" t="s">
        <v>151</v>
      </c>
      <c r="B18" s="802">
        <f>B8</f>
        <v>2021</v>
      </c>
      <c r="C18" s="802">
        <f>B18-1</f>
        <v>2020</v>
      </c>
      <c r="D18" s="802">
        <f>C18-1</f>
        <v>2019</v>
      </c>
    </row>
    <row r="19" spans="1:4" s="14" customFormat="1" ht="14.25">
      <c r="A19" s="801"/>
      <c r="B19" s="803"/>
      <c r="C19" s="803"/>
      <c r="D19" s="803"/>
    </row>
    <row r="20" spans="1:4" ht="28.5">
      <c r="A20" s="283" t="s">
        <v>537</v>
      </c>
      <c r="B20" s="284"/>
      <c r="C20" s="284"/>
      <c r="D20" s="285"/>
    </row>
    <row r="21" spans="1:4" ht="14.25">
      <c r="A21" s="283" t="s">
        <v>90</v>
      </c>
      <c r="B21" s="286">
        <f>B22+B23+B24</f>
        <v>0</v>
      </c>
      <c r="C21" s="286">
        <f>C22+C23+C24</f>
        <v>0</v>
      </c>
      <c r="D21" s="287">
        <f>D22+D23+D24</f>
        <v>0</v>
      </c>
    </row>
    <row r="22" spans="1:4" ht="14.25">
      <c r="A22" s="283" t="s">
        <v>91</v>
      </c>
      <c r="B22" s="288"/>
      <c r="C22" s="288">
        <v>0</v>
      </c>
      <c r="D22" s="289">
        <v>0</v>
      </c>
    </row>
    <row r="23" spans="1:4" ht="14.25">
      <c r="A23" s="283" t="s">
        <v>92</v>
      </c>
      <c r="B23" s="288"/>
      <c r="C23" s="288"/>
      <c r="D23" s="289"/>
    </row>
    <row r="24" spans="1:4" ht="14.25">
      <c r="A24" s="283" t="s">
        <v>93</v>
      </c>
      <c r="B24" s="288"/>
      <c r="C24" s="288">
        <v>0</v>
      </c>
      <c r="D24" s="289"/>
    </row>
    <row r="25" spans="1:4" ht="28.5">
      <c r="A25" s="283" t="s">
        <v>94</v>
      </c>
      <c r="B25" s="286">
        <f>B26+B27</f>
        <v>0</v>
      </c>
      <c r="C25" s="286">
        <f>C26+C27</f>
        <v>0</v>
      </c>
      <c r="D25" s="287">
        <f>D26+D27</f>
        <v>0</v>
      </c>
    </row>
    <row r="26" spans="1:4" ht="14.25">
      <c r="A26" s="283" t="s">
        <v>95</v>
      </c>
      <c r="B26" s="288">
        <v>0</v>
      </c>
      <c r="C26" s="288"/>
      <c r="D26" s="289"/>
    </row>
    <row r="27" spans="1:4" ht="14.25">
      <c r="A27" s="290" t="s">
        <v>96</v>
      </c>
      <c r="B27" s="291"/>
      <c r="C27" s="291"/>
      <c r="D27" s="292"/>
    </row>
    <row r="28" spans="1:4" ht="15">
      <c r="A28" s="307" t="s">
        <v>536</v>
      </c>
      <c r="B28" s="293">
        <f>B21+B25</f>
        <v>0</v>
      </c>
      <c r="C28" s="293">
        <f>C21+C25</f>
        <v>0</v>
      </c>
      <c r="D28" s="294">
        <f>D21+D25</f>
        <v>0</v>
      </c>
    </row>
    <row r="29" spans="1:4" ht="14.25">
      <c r="A29" s="804" t="s">
        <v>97</v>
      </c>
      <c r="B29" s="291"/>
      <c r="C29" s="291"/>
      <c r="D29" s="292"/>
    </row>
    <row r="30" spans="1:4" ht="14.25">
      <c r="A30" s="805"/>
      <c r="B30" s="293">
        <f>C30+B16-B28</f>
        <v>0</v>
      </c>
      <c r="C30" s="293">
        <f>D30+C16-C28</f>
        <v>0</v>
      </c>
      <c r="D30" s="295">
        <f>D16-D28</f>
        <v>0</v>
      </c>
    </row>
    <row r="31" spans="1:4" ht="14.25">
      <c r="A31" s="806" t="s">
        <v>185</v>
      </c>
      <c r="B31" s="806"/>
      <c r="C31" s="806"/>
      <c r="D31" s="806"/>
    </row>
    <row r="49" spans="1:6" ht="14.25">
      <c r="A49" s="432" t="s">
        <v>656</v>
      </c>
      <c r="B49" s="470" t="s">
        <v>653</v>
      </c>
      <c r="D49" s="470" t="s">
        <v>654</v>
      </c>
      <c r="F49" s="11"/>
    </row>
    <row r="50" spans="1:6" ht="14.25">
      <c r="A50" s="11" t="s">
        <v>1160</v>
      </c>
      <c r="B50" s="470" t="s">
        <v>1159</v>
      </c>
      <c r="D50" s="470" t="s">
        <v>661</v>
      </c>
      <c r="F50" s="11"/>
    </row>
    <row r="51" spans="1:6" ht="14.25">
      <c r="A51" s="11" t="s">
        <v>1161</v>
      </c>
      <c r="B51" s="470" t="s">
        <v>659</v>
      </c>
      <c r="D51" s="470" t="s">
        <v>660</v>
      </c>
      <c r="F51" s="11"/>
    </row>
  </sheetData>
  <sheetProtection/>
  <mergeCells count="13">
    <mergeCell ref="A18:A19"/>
    <mergeCell ref="B18:B19"/>
    <mergeCell ref="C18:C19"/>
    <mergeCell ref="D18:D19"/>
    <mergeCell ref="A29:A30"/>
    <mergeCell ref="A31:D31"/>
    <mergeCell ref="A17:D17"/>
    <mergeCell ref="A5:D5"/>
    <mergeCell ref="A6:D6"/>
    <mergeCell ref="A1:D1"/>
    <mergeCell ref="A2:D2"/>
    <mergeCell ref="A3:D3"/>
    <mergeCell ref="A4:D4"/>
  </mergeCells>
  <printOptions/>
  <pageMargins left="0.787401575" right="0.787401575" top="0.984251969" bottom="0.984251969" header="0.492125985" footer="0.492125985"/>
  <pageSetup horizontalDpi="300" verticalDpi="300" orientation="portrait" scale="84" r:id="rId2"/>
  <drawing r:id="rId1"/>
</worksheet>
</file>

<file path=xl/worksheets/sheet14.xml><?xml version="1.0" encoding="utf-8"?>
<worksheet xmlns="http://schemas.openxmlformats.org/spreadsheetml/2006/main" xmlns:r="http://schemas.openxmlformats.org/officeDocument/2006/relationships">
  <dimension ref="A1:Q243"/>
  <sheetViews>
    <sheetView zoomScalePageLayoutView="0" workbookViewId="0" topLeftCell="A1">
      <selection activeCell="A1" sqref="A1:Q267"/>
    </sheetView>
  </sheetViews>
  <sheetFormatPr defaultColWidth="9.140625" defaultRowHeight="12.75"/>
  <cols>
    <col min="1" max="3" width="0.9921875" style="0" customWidth="1"/>
    <col min="4" max="4" width="16.140625" style="0" customWidth="1"/>
    <col min="5" max="5" width="19.140625" style="0" customWidth="1"/>
    <col min="6" max="6" width="15.140625" style="0" customWidth="1"/>
    <col min="7" max="7" width="0.9921875" style="0" customWidth="1"/>
    <col min="8" max="8" width="3.140625" style="0" customWidth="1"/>
    <col min="9" max="9" width="0.5625" style="0" customWidth="1"/>
    <col min="10" max="12" width="0.9921875" style="0" customWidth="1"/>
    <col min="13" max="13" width="9.421875" style="0" customWidth="1"/>
    <col min="14" max="14" width="6.00390625" style="0" customWidth="1"/>
    <col min="15" max="15" width="6.7109375" style="0" customWidth="1"/>
    <col min="16" max="16" width="12.57421875" style="0" customWidth="1"/>
    <col min="17" max="17" width="0.5625" style="0" customWidth="1"/>
  </cols>
  <sheetData>
    <row r="1" spans="13:17" ht="14.25" customHeight="1">
      <c r="M1" s="448"/>
      <c r="N1" s="871" t="s">
        <v>701</v>
      </c>
      <c r="O1" s="872"/>
      <c r="P1" s="873"/>
      <c r="Q1" s="449"/>
    </row>
    <row r="2" spans="14:16" ht="3" customHeight="1">
      <c r="N2" s="450"/>
      <c r="O2" s="450"/>
      <c r="P2" s="450"/>
    </row>
    <row r="3" spans="1:16" ht="7.5" customHeight="1">
      <c r="A3" s="816" t="s">
        <v>702</v>
      </c>
      <c r="B3" s="816"/>
      <c r="C3" s="816"/>
      <c r="D3" s="816"/>
      <c r="E3" s="816"/>
      <c r="F3" s="816"/>
      <c r="G3" s="816"/>
      <c r="H3" s="816"/>
      <c r="I3" s="816"/>
      <c r="J3" s="816"/>
      <c r="K3" s="816"/>
      <c r="L3" s="816"/>
      <c r="M3" s="816"/>
      <c r="N3" s="816"/>
      <c r="O3" s="816"/>
      <c r="P3" s="816"/>
    </row>
    <row r="4" spans="1:16" ht="8.25" customHeight="1">
      <c r="A4" s="816" t="s">
        <v>36</v>
      </c>
      <c r="B4" s="816"/>
      <c r="C4" s="816"/>
      <c r="D4" s="816"/>
      <c r="E4" s="816"/>
      <c r="F4" s="816"/>
      <c r="G4" s="816"/>
      <c r="H4" s="816"/>
      <c r="I4" s="816"/>
      <c r="J4" s="816"/>
      <c r="K4" s="816"/>
      <c r="L4" s="816"/>
      <c r="M4" s="816"/>
      <c r="N4" s="816"/>
      <c r="O4" s="816"/>
      <c r="P4" s="816"/>
    </row>
    <row r="5" spans="1:16" ht="8.25" customHeight="1">
      <c r="A5" s="816" t="s">
        <v>703</v>
      </c>
      <c r="B5" s="816"/>
      <c r="C5" s="816"/>
      <c r="D5" s="816"/>
      <c r="E5" s="816"/>
      <c r="F5" s="816"/>
      <c r="G5" s="816"/>
      <c r="H5" s="816"/>
      <c r="I5" s="816"/>
      <c r="J5" s="816"/>
      <c r="K5" s="816"/>
      <c r="L5" s="816"/>
      <c r="M5" s="816"/>
      <c r="N5" s="816"/>
      <c r="O5" s="816"/>
      <c r="P5" s="816"/>
    </row>
    <row r="6" spans="1:16" ht="8.25" customHeight="1">
      <c r="A6" s="878" t="s">
        <v>704</v>
      </c>
      <c r="B6" s="878"/>
      <c r="C6" s="878"/>
      <c r="D6" s="878"/>
      <c r="E6" s="878"/>
      <c r="F6" s="878"/>
      <c r="G6" s="878"/>
      <c r="H6" s="878"/>
      <c r="I6" s="878"/>
      <c r="J6" s="878"/>
      <c r="K6" s="878"/>
      <c r="L6" s="878"/>
      <c r="M6" s="878"/>
      <c r="N6" s="878"/>
      <c r="O6" s="878"/>
      <c r="P6" s="878"/>
    </row>
    <row r="7" spans="1:16" ht="8.25" customHeight="1">
      <c r="A7" s="816" t="s">
        <v>705</v>
      </c>
      <c r="B7" s="816"/>
      <c r="C7" s="816"/>
      <c r="D7" s="816"/>
      <c r="E7" s="816"/>
      <c r="F7" s="816"/>
      <c r="G7" s="816"/>
      <c r="H7" s="816"/>
      <c r="I7" s="816"/>
      <c r="J7" s="816"/>
      <c r="K7" s="816"/>
      <c r="L7" s="816"/>
      <c r="M7" s="816"/>
      <c r="N7" s="816"/>
      <c r="O7" s="816"/>
      <c r="P7" s="816"/>
    </row>
    <row r="8" spans="1:16" ht="13.5" customHeight="1">
      <c r="A8" s="880" t="s">
        <v>706</v>
      </c>
      <c r="B8" s="880"/>
      <c r="C8" s="880"/>
      <c r="D8" s="880"/>
      <c r="E8" s="880"/>
      <c r="F8" s="880"/>
      <c r="G8" s="451"/>
      <c r="H8" s="879" t="s">
        <v>707</v>
      </c>
      <c r="I8" s="879"/>
      <c r="J8" s="879"/>
      <c r="K8" s="879"/>
      <c r="L8" s="879"/>
      <c r="M8" s="879"/>
      <c r="N8" s="879"/>
      <c r="O8" s="879"/>
      <c r="P8" s="879"/>
    </row>
    <row r="9" spans="1:16" ht="11.25" customHeight="1">
      <c r="A9" s="824" t="s">
        <v>708</v>
      </c>
      <c r="B9" s="824"/>
      <c r="C9" s="824"/>
      <c r="D9" s="824"/>
      <c r="E9" s="824"/>
      <c r="F9" s="824"/>
      <c r="G9" s="824"/>
      <c r="H9" s="824"/>
      <c r="I9" s="824"/>
      <c r="J9" s="824"/>
      <c r="K9" s="824"/>
      <c r="L9" s="824"/>
      <c r="M9" s="824"/>
      <c r="N9" s="824"/>
      <c r="O9" s="824"/>
      <c r="P9" s="824"/>
    </row>
    <row r="10" spans="1:16" ht="8.25" customHeight="1">
      <c r="A10" s="881" t="s">
        <v>709</v>
      </c>
      <c r="B10" s="881"/>
      <c r="C10" s="881"/>
      <c r="D10" s="881"/>
      <c r="E10" s="881"/>
      <c r="F10" s="881"/>
      <c r="G10" s="881"/>
      <c r="H10" s="881"/>
      <c r="I10" s="881"/>
      <c r="J10" s="881"/>
      <c r="K10" s="881"/>
      <c r="L10" s="881"/>
      <c r="M10" s="881"/>
      <c r="N10" s="881"/>
      <c r="O10" s="881"/>
      <c r="P10" s="881"/>
    </row>
    <row r="11" spans="1:16" ht="8.25" customHeight="1">
      <c r="A11" s="833" t="s">
        <v>710</v>
      </c>
      <c r="B11" s="834"/>
      <c r="C11" s="834"/>
      <c r="D11" s="834"/>
      <c r="E11" s="834"/>
      <c r="F11" s="834"/>
      <c r="G11" s="834"/>
      <c r="H11" s="834"/>
      <c r="I11" s="833"/>
      <c r="J11" s="848" t="s">
        <v>711</v>
      </c>
      <c r="K11" s="822"/>
      <c r="L11" s="822"/>
      <c r="M11" s="821"/>
      <c r="N11" s="848" t="s">
        <v>712</v>
      </c>
      <c r="O11" s="821"/>
      <c r="P11" s="452" t="s">
        <v>713</v>
      </c>
    </row>
    <row r="12" spans="1:16" ht="8.25" customHeight="1">
      <c r="A12" s="453"/>
      <c r="B12" s="849" t="s">
        <v>374</v>
      </c>
      <c r="C12" s="850"/>
      <c r="D12" s="850"/>
      <c r="E12" s="850"/>
      <c r="F12" s="850"/>
      <c r="G12" s="850"/>
      <c r="H12" s="850"/>
      <c r="I12" s="849"/>
      <c r="J12" s="854" t="s">
        <v>663</v>
      </c>
      <c r="K12" s="859"/>
      <c r="L12" s="859"/>
      <c r="M12" s="855"/>
      <c r="N12" s="854" t="s">
        <v>664</v>
      </c>
      <c r="O12" s="855"/>
      <c r="P12" s="445" t="s">
        <v>665</v>
      </c>
    </row>
    <row r="13" spans="3:16" ht="7.5" customHeight="1">
      <c r="C13" s="838" t="s">
        <v>391</v>
      </c>
      <c r="D13" s="839"/>
      <c r="E13" s="839"/>
      <c r="F13" s="839"/>
      <c r="G13" s="839"/>
      <c r="H13" s="839"/>
      <c r="I13" s="838"/>
      <c r="J13" s="860" t="s">
        <v>666</v>
      </c>
      <c r="K13" s="861"/>
      <c r="L13" s="861"/>
      <c r="M13" s="862"/>
      <c r="N13" s="860" t="s">
        <v>667</v>
      </c>
      <c r="O13" s="862"/>
      <c r="P13" s="446" t="s">
        <v>668</v>
      </c>
    </row>
    <row r="14" spans="4:16" ht="8.25" customHeight="1">
      <c r="D14" s="838" t="s">
        <v>714</v>
      </c>
      <c r="E14" s="839"/>
      <c r="F14" s="839"/>
      <c r="G14" s="839"/>
      <c r="H14" s="839"/>
      <c r="I14" s="838"/>
      <c r="J14" s="860" t="s">
        <v>669</v>
      </c>
      <c r="K14" s="861"/>
      <c r="L14" s="861"/>
      <c r="M14" s="862"/>
      <c r="N14" s="860" t="s">
        <v>670</v>
      </c>
      <c r="O14" s="862"/>
      <c r="P14" s="446" t="s">
        <v>671</v>
      </c>
    </row>
    <row r="15" spans="4:16" ht="8.25" customHeight="1">
      <c r="D15" s="838" t="s">
        <v>715</v>
      </c>
      <c r="E15" s="839"/>
      <c r="F15" s="839"/>
      <c r="G15" s="839"/>
      <c r="H15" s="839"/>
      <c r="I15" s="838"/>
      <c r="J15" s="860" t="s">
        <v>672</v>
      </c>
      <c r="K15" s="861"/>
      <c r="L15" s="861"/>
      <c r="M15" s="862"/>
      <c r="N15" s="860" t="s">
        <v>673</v>
      </c>
      <c r="O15" s="862"/>
      <c r="P15" s="446" t="s">
        <v>674</v>
      </c>
    </row>
    <row r="16" spans="4:16" ht="8.25" customHeight="1">
      <c r="D16" s="838" t="s">
        <v>716</v>
      </c>
      <c r="E16" s="839"/>
      <c r="F16" s="839"/>
      <c r="G16" s="839"/>
      <c r="H16" s="839"/>
      <c r="I16" s="838"/>
      <c r="J16" s="860" t="s">
        <v>675</v>
      </c>
      <c r="K16" s="861"/>
      <c r="L16" s="861"/>
      <c r="M16" s="862"/>
      <c r="N16" s="860" t="s">
        <v>676</v>
      </c>
      <c r="O16" s="862"/>
      <c r="P16" s="446" t="s">
        <v>677</v>
      </c>
    </row>
    <row r="17" spans="3:16" ht="8.25" customHeight="1">
      <c r="C17" s="838" t="s">
        <v>392</v>
      </c>
      <c r="D17" s="839"/>
      <c r="E17" s="839"/>
      <c r="F17" s="839"/>
      <c r="G17" s="839"/>
      <c r="H17" s="839"/>
      <c r="I17" s="838"/>
      <c r="J17" s="860" t="s">
        <v>678</v>
      </c>
      <c r="K17" s="861"/>
      <c r="L17" s="861"/>
      <c r="M17" s="862"/>
      <c r="N17" s="860" t="s">
        <v>679</v>
      </c>
      <c r="O17" s="862"/>
      <c r="P17" s="446" t="s">
        <v>680</v>
      </c>
    </row>
    <row r="18" spans="4:16" ht="7.5" customHeight="1">
      <c r="D18" s="838" t="s">
        <v>714</v>
      </c>
      <c r="E18" s="839"/>
      <c r="F18" s="839"/>
      <c r="G18" s="839"/>
      <c r="H18" s="839"/>
      <c r="I18" s="838"/>
      <c r="J18" s="860" t="s">
        <v>681</v>
      </c>
      <c r="K18" s="861"/>
      <c r="L18" s="861"/>
      <c r="M18" s="862"/>
      <c r="N18" s="860" t="s">
        <v>682</v>
      </c>
      <c r="O18" s="862"/>
      <c r="P18" s="446" t="s">
        <v>683</v>
      </c>
    </row>
    <row r="19" spans="4:16" ht="8.25" customHeight="1">
      <c r="D19" s="838" t="s">
        <v>715</v>
      </c>
      <c r="E19" s="839"/>
      <c r="F19" s="839"/>
      <c r="G19" s="839"/>
      <c r="H19" s="839"/>
      <c r="I19" s="838"/>
      <c r="J19" s="860" t="s">
        <v>684</v>
      </c>
      <c r="K19" s="861"/>
      <c r="L19" s="861"/>
      <c r="M19" s="862"/>
      <c r="N19" s="860" t="s">
        <v>685</v>
      </c>
      <c r="O19" s="862"/>
      <c r="P19" s="446" t="s">
        <v>686</v>
      </c>
    </row>
    <row r="20" spans="4:16" ht="8.25" customHeight="1">
      <c r="D20" s="838" t="s">
        <v>716</v>
      </c>
      <c r="E20" s="839"/>
      <c r="F20" s="839"/>
      <c r="G20" s="839"/>
      <c r="H20" s="839"/>
      <c r="I20" s="838"/>
      <c r="J20" s="860" t="s">
        <v>687</v>
      </c>
      <c r="K20" s="861"/>
      <c r="L20" s="861"/>
      <c r="M20" s="862"/>
      <c r="N20" s="860" t="s">
        <v>688</v>
      </c>
      <c r="O20" s="862"/>
      <c r="P20" s="446" t="s">
        <v>689</v>
      </c>
    </row>
    <row r="21" spans="3:16" ht="8.25" customHeight="1">
      <c r="C21" s="838" t="s">
        <v>213</v>
      </c>
      <c r="D21" s="839"/>
      <c r="E21" s="839"/>
      <c r="F21" s="839"/>
      <c r="G21" s="839"/>
      <c r="H21" s="839"/>
      <c r="I21" s="838"/>
      <c r="J21" s="860" t="s">
        <v>690</v>
      </c>
      <c r="K21" s="861"/>
      <c r="L21" s="861"/>
      <c r="M21" s="862"/>
      <c r="N21" s="860" t="s">
        <v>691</v>
      </c>
      <c r="O21" s="862"/>
      <c r="P21" s="446" t="s">
        <v>692</v>
      </c>
    </row>
    <row r="22" spans="4:16" ht="8.25" customHeight="1">
      <c r="D22" s="838" t="s">
        <v>375</v>
      </c>
      <c r="E22" s="839"/>
      <c r="F22" s="839"/>
      <c r="G22" s="839"/>
      <c r="H22" s="839"/>
      <c r="I22" s="838"/>
      <c r="J22" s="860">
        <v>0</v>
      </c>
      <c r="K22" s="861"/>
      <c r="L22" s="861"/>
      <c r="M22" s="862"/>
      <c r="N22" s="860">
        <v>0</v>
      </c>
      <c r="O22" s="862"/>
      <c r="P22" s="446">
        <v>0</v>
      </c>
    </row>
    <row r="23" spans="4:16" ht="7.5" customHeight="1">
      <c r="D23" s="838" t="s">
        <v>376</v>
      </c>
      <c r="E23" s="839"/>
      <c r="F23" s="839"/>
      <c r="G23" s="839"/>
      <c r="H23" s="839"/>
      <c r="I23" s="838"/>
      <c r="J23" s="860" t="s">
        <v>690</v>
      </c>
      <c r="K23" s="861"/>
      <c r="L23" s="861"/>
      <c r="M23" s="862"/>
      <c r="N23" s="860" t="s">
        <v>691</v>
      </c>
      <c r="O23" s="862"/>
      <c r="P23" s="446" t="s">
        <v>692</v>
      </c>
    </row>
    <row r="24" spans="4:16" ht="8.25" customHeight="1">
      <c r="D24" s="838" t="s">
        <v>377</v>
      </c>
      <c r="E24" s="839"/>
      <c r="F24" s="839"/>
      <c r="G24" s="839"/>
      <c r="H24" s="839"/>
      <c r="I24" s="838"/>
      <c r="J24" s="860">
        <v>0</v>
      </c>
      <c r="K24" s="861"/>
      <c r="L24" s="861"/>
      <c r="M24" s="862"/>
      <c r="N24" s="860">
        <v>0</v>
      </c>
      <c r="O24" s="862"/>
      <c r="P24" s="446">
        <v>0</v>
      </c>
    </row>
    <row r="25" spans="3:16" ht="8.25" customHeight="1">
      <c r="C25" s="838" t="s">
        <v>235</v>
      </c>
      <c r="D25" s="839"/>
      <c r="E25" s="839"/>
      <c r="F25" s="839"/>
      <c r="G25" s="839"/>
      <c r="H25" s="839"/>
      <c r="I25" s="838"/>
      <c r="J25" s="860">
        <v>0</v>
      </c>
      <c r="K25" s="861"/>
      <c r="L25" s="861"/>
      <c r="M25" s="862"/>
      <c r="N25" s="860">
        <v>0</v>
      </c>
      <c r="O25" s="862"/>
      <c r="P25" s="446">
        <v>0</v>
      </c>
    </row>
    <row r="26" spans="3:16" ht="8.25" customHeight="1">
      <c r="C26" s="838" t="s">
        <v>290</v>
      </c>
      <c r="D26" s="839"/>
      <c r="E26" s="839"/>
      <c r="F26" s="839"/>
      <c r="G26" s="839"/>
      <c r="H26" s="839"/>
      <c r="I26" s="838"/>
      <c r="J26" s="860" t="s">
        <v>693</v>
      </c>
      <c r="K26" s="861"/>
      <c r="L26" s="861"/>
      <c r="M26" s="862"/>
      <c r="N26" s="860" t="s">
        <v>694</v>
      </c>
      <c r="O26" s="862"/>
      <c r="P26" s="446" t="s">
        <v>695</v>
      </c>
    </row>
    <row r="27" spans="4:16" ht="8.25" customHeight="1">
      <c r="D27" s="838" t="s">
        <v>717</v>
      </c>
      <c r="E27" s="839"/>
      <c r="F27" s="839"/>
      <c r="G27" s="839"/>
      <c r="H27" s="839"/>
      <c r="I27" s="838"/>
      <c r="J27" s="860">
        <v>0</v>
      </c>
      <c r="K27" s="861"/>
      <c r="L27" s="861"/>
      <c r="M27" s="862"/>
      <c r="N27" s="860" t="s">
        <v>696</v>
      </c>
      <c r="O27" s="862"/>
      <c r="P27" s="446" t="s">
        <v>697</v>
      </c>
    </row>
    <row r="28" spans="4:16" ht="8.25" customHeight="1">
      <c r="D28" s="838" t="s">
        <v>718</v>
      </c>
      <c r="E28" s="839"/>
      <c r="F28" s="839"/>
      <c r="G28" s="839"/>
      <c r="H28" s="839"/>
      <c r="I28" s="838"/>
      <c r="J28" s="860" t="s">
        <v>693</v>
      </c>
      <c r="K28" s="861"/>
      <c r="L28" s="861"/>
      <c r="M28" s="862"/>
      <c r="N28" s="860" t="s">
        <v>698</v>
      </c>
      <c r="O28" s="862"/>
      <c r="P28" s="446" t="s">
        <v>699</v>
      </c>
    </row>
    <row r="29" spans="4:16" ht="7.5" customHeight="1">
      <c r="D29" s="838" t="s">
        <v>296</v>
      </c>
      <c r="E29" s="839"/>
      <c r="F29" s="839"/>
      <c r="G29" s="839"/>
      <c r="H29" s="839"/>
      <c r="I29" s="838"/>
      <c r="J29" s="860">
        <v>0</v>
      </c>
      <c r="K29" s="861"/>
      <c r="L29" s="861"/>
      <c r="M29" s="862"/>
      <c r="N29" s="860" t="s">
        <v>700</v>
      </c>
      <c r="O29" s="862"/>
      <c r="P29" s="446">
        <v>0</v>
      </c>
    </row>
    <row r="30" spans="2:16" ht="8.25" customHeight="1">
      <c r="B30" s="838" t="s">
        <v>581</v>
      </c>
      <c r="C30" s="839"/>
      <c r="D30" s="839"/>
      <c r="E30" s="839"/>
      <c r="F30" s="839"/>
      <c r="G30" s="839"/>
      <c r="H30" s="839"/>
      <c r="I30" s="838"/>
      <c r="J30" s="860">
        <v>0</v>
      </c>
      <c r="K30" s="861"/>
      <c r="L30" s="861"/>
      <c r="M30" s="862"/>
      <c r="N30" s="860">
        <v>0</v>
      </c>
      <c r="O30" s="862"/>
      <c r="P30" s="446">
        <v>0</v>
      </c>
    </row>
    <row r="31" spans="3:16" ht="8.25" customHeight="1">
      <c r="C31" s="838" t="s">
        <v>378</v>
      </c>
      <c r="D31" s="839"/>
      <c r="E31" s="839"/>
      <c r="F31" s="839"/>
      <c r="G31" s="839"/>
      <c r="H31" s="839"/>
      <c r="I31" s="838"/>
      <c r="J31" s="860">
        <v>0</v>
      </c>
      <c r="K31" s="861"/>
      <c r="L31" s="861"/>
      <c r="M31" s="862"/>
      <c r="N31" s="860">
        <v>0</v>
      </c>
      <c r="O31" s="862"/>
      <c r="P31" s="446">
        <v>0</v>
      </c>
    </row>
    <row r="32" spans="3:16" ht="8.25" customHeight="1">
      <c r="C32" s="838" t="s">
        <v>315</v>
      </c>
      <c r="D32" s="839"/>
      <c r="E32" s="839"/>
      <c r="F32" s="839"/>
      <c r="G32" s="839"/>
      <c r="H32" s="839"/>
      <c r="I32" s="838"/>
      <c r="J32" s="860">
        <v>0</v>
      </c>
      <c r="K32" s="861"/>
      <c r="L32" s="861"/>
      <c r="M32" s="862"/>
      <c r="N32" s="860">
        <v>0</v>
      </c>
      <c r="O32" s="862"/>
      <c r="P32" s="446">
        <v>0</v>
      </c>
    </row>
    <row r="33" spans="1:16" ht="8.25" customHeight="1">
      <c r="A33" s="451"/>
      <c r="B33" s="451"/>
      <c r="C33" s="843" t="s">
        <v>326</v>
      </c>
      <c r="D33" s="844"/>
      <c r="E33" s="844"/>
      <c r="F33" s="844"/>
      <c r="G33" s="844"/>
      <c r="H33" s="844"/>
      <c r="I33" s="843"/>
      <c r="J33" s="856">
        <v>0</v>
      </c>
      <c r="K33" s="857"/>
      <c r="L33" s="857"/>
      <c r="M33" s="858"/>
      <c r="N33" s="856">
        <v>0</v>
      </c>
      <c r="O33" s="858"/>
      <c r="P33" s="447">
        <v>0</v>
      </c>
    </row>
    <row r="34" spans="1:16" ht="7.5" customHeight="1">
      <c r="A34" s="833" t="s">
        <v>719</v>
      </c>
      <c r="B34" s="834"/>
      <c r="C34" s="834"/>
      <c r="D34" s="834"/>
      <c r="E34" s="834"/>
      <c r="F34" s="834"/>
      <c r="G34" s="834"/>
      <c r="H34" s="834"/>
      <c r="I34" s="833"/>
      <c r="J34" s="835" t="s">
        <v>720</v>
      </c>
      <c r="K34" s="836"/>
      <c r="L34" s="836"/>
      <c r="M34" s="837"/>
      <c r="N34" s="835" t="s">
        <v>721</v>
      </c>
      <c r="O34" s="837"/>
      <c r="P34" s="454" t="s">
        <v>722</v>
      </c>
    </row>
    <row r="35" spans="1:16" ht="3" customHeight="1">
      <c r="A35" s="455"/>
      <c r="B35" s="455"/>
      <c r="C35" s="455"/>
      <c r="D35" s="455"/>
      <c r="E35" s="455"/>
      <c r="F35" s="455"/>
      <c r="G35" s="455"/>
      <c r="H35" s="455"/>
      <c r="I35" s="455"/>
      <c r="J35" s="455"/>
      <c r="K35" s="455"/>
      <c r="L35" s="455"/>
      <c r="M35" s="455"/>
      <c r="N35" s="455"/>
      <c r="O35" s="455"/>
      <c r="P35" s="455"/>
    </row>
    <row r="36" spans="1:16" ht="8.25" customHeight="1">
      <c r="A36" s="833" t="s">
        <v>723</v>
      </c>
      <c r="B36" s="834"/>
      <c r="C36" s="834"/>
      <c r="D36" s="834"/>
      <c r="E36" s="834"/>
      <c r="F36" s="834"/>
      <c r="G36" s="834"/>
      <c r="H36" s="834"/>
      <c r="I36" s="833"/>
      <c r="J36" s="848" t="s">
        <v>711</v>
      </c>
      <c r="K36" s="822"/>
      <c r="L36" s="822"/>
      <c r="M36" s="821"/>
      <c r="N36" s="848" t="s">
        <v>712</v>
      </c>
      <c r="O36" s="821"/>
      <c r="P36" s="452" t="s">
        <v>713</v>
      </c>
    </row>
    <row r="37" spans="1:16" ht="8.25" customHeight="1">
      <c r="A37" s="453"/>
      <c r="B37" s="849" t="s">
        <v>724</v>
      </c>
      <c r="C37" s="850"/>
      <c r="D37" s="850"/>
      <c r="E37" s="850"/>
      <c r="F37" s="850"/>
      <c r="G37" s="850"/>
      <c r="H37" s="850"/>
      <c r="I37" s="849"/>
      <c r="J37" s="851" t="s">
        <v>725</v>
      </c>
      <c r="K37" s="852"/>
      <c r="L37" s="852"/>
      <c r="M37" s="853"/>
      <c r="N37" s="851" t="s">
        <v>726</v>
      </c>
      <c r="O37" s="853"/>
      <c r="P37" s="456" t="s">
        <v>727</v>
      </c>
    </row>
    <row r="38" spans="3:16" ht="8.25" customHeight="1">
      <c r="C38" s="838" t="s">
        <v>379</v>
      </c>
      <c r="D38" s="839"/>
      <c r="E38" s="839"/>
      <c r="F38" s="839"/>
      <c r="G38" s="839"/>
      <c r="H38" s="839"/>
      <c r="I38" s="838"/>
      <c r="J38" s="840" t="s">
        <v>728</v>
      </c>
      <c r="K38" s="841"/>
      <c r="L38" s="841"/>
      <c r="M38" s="842"/>
      <c r="N38" s="840" t="s">
        <v>729</v>
      </c>
      <c r="O38" s="842"/>
      <c r="P38" s="457" t="s">
        <v>730</v>
      </c>
    </row>
    <row r="39" spans="3:16" ht="8.25" customHeight="1">
      <c r="C39" s="838" t="s">
        <v>731</v>
      </c>
      <c r="D39" s="839"/>
      <c r="E39" s="839"/>
      <c r="F39" s="839"/>
      <c r="G39" s="839"/>
      <c r="H39" s="839"/>
      <c r="I39" s="838"/>
      <c r="J39" s="840" t="s">
        <v>732</v>
      </c>
      <c r="K39" s="841"/>
      <c r="L39" s="841"/>
      <c r="M39" s="842"/>
      <c r="N39" s="840" t="s">
        <v>733</v>
      </c>
      <c r="O39" s="842"/>
      <c r="P39" s="457" t="s">
        <v>734</v>
      </c>
    </row>
    <row r="40" spans="2:16" ht="7.5" customHeight="1">
      <c r="B40" s="838" t="s">
        <v>381</v>
      </c>
      <c r="C40" s="839"/>
      <c r="D40" s="839"/>
      <c r="E40" s="839"/>
      <c r="F40" s="839"/>
      <c r="G40" s="839"/>
      <c r="H40" s="839"/>
      <c r="I40" s="838"/>
      <c r="J40" s="840" t="s">
        <v>735</v>
      </c>
      <c r="K40" s="841"/>
      <c r="L40" s="841"/>
      <c r="M40" s="842"/>
      <c r="N40" s="840" t="s">
        <v>735</v>
      </c>
      <c r="O40" s="842"/>
      <c r="P40" s="457" t="s">
        <v>735</v>
      </c>
    </row>
    <row r="41" spans="3:16" ht="8.25" customHeight="1">
      <c r="C41" s="838" t="s">
        <v>717</v>
      </c>
      <c r="D41" s="839"/>
      <c r="E41" s="839"/>
      <c r="F41" s="839"/>
      <c r="G41" s="839"/>
      <c r="H41" s="839"/>
      <c r="I41" s="838"/>
      <c r="J41" s="840" t="s">
        <v>735</v>
      </c>
      <c r="K41" s="841"/>
      <c r="L41" s="841"/>
      <c r="M41" s="842"/>
      <c r="N41" s="840" t="s">
        <v>735</v>
      </c>
      <c r="O41" s="842"/>
      <c r="P41" s="457" t="s">
        <v>735</v>
      </c>
    </row>
    <row r="42" spans="1:16" ht="8.25" customHeight="1">
      <c r="A42" s="451"/>
      <c r="B42" s="451"/>
      <c r="C42" s="843" t="s">
        <v>382</v>
      </c>
      <c r="D42" s="844"/>
      <c r="E42" s="844"/>
      <c r="F42" s="844"/>
      <c r="G42" s="844"/>
      <c r="H42" s="844"/>
      <c r="I42" s="843"/>
      <c r="J42" s="845" t="s">
        <v>735</v>
      </c>
      <c r="K42" s="846"/>
      <c r="L42" s="846"/>
      <c r="M42" s="847"/>
      <c r="N42" s="845" t="s">
        <v>735</v>
      </c>
      <c r="O42" s="847"/>
      <c r="P42" s="458" t="s">
        <v>735</v>
      </c>
    </row>
    <row r="43" spans="1:16" ht="8.25" customHeight="1">
      <c r="A43" s="833" t="s">
        <v>736</v>
      </c>
      <c r="B43" s="834"/>
      <c r="C43" s="834"/>
      <c r="D43" s="834"/>
      <c r="E43" s="834"/>
      <c r="F43" s="834"/>
      <c r="G43" s="834"/>
      <c r="H43" s="834"/>
      <c r="I43" s="833"/>
      <c r="J43" s="835" t="s">
        <v>725</v>
      </c>
      <c r="K43" s="836"/>
      <c r="L43" s="836"/>
      <c r="M43" s="837"/>
      <c r="N43" s="835" t="s">
        <v>726</v>
      </c>
      <c r="O43" s="837"/>
      <c r="P43" s="454" t="s">
        <v>727</v>
      </c>
    </row>
    <row r="44" spans="1:16" ht="3" customHeight="1">
      <c r="A44" s="455"/>
      <c r="B44" s="455"/>
      <c r="C44" s="455"/>
      <c r="D44" s="455"/>
      <c r="E44" s="455"/>
      <c r="F44" s="455"/>
      <c r="G44" s="455"/>
      <c r="H44" s="455"/>
      <c r="I44" s="455"/>
      <c r="J44" s="455"/>
      <c r="K44" s="455"/>
      <c r="L44" s="455"/>
      <c r="M44" s="455"/>
      <c r="N44" s="455"/>
      <c r="O44" s="455"/>
      <c r="P44" s="455"/>
    </row>
    <row r="45" spans="1:16" ht="8.25" customHeight="1">
      <c r="A45" s="833" t="s">
        <v>737</v>
      </c>
      <c r="B45" s="834"/>
      <c r="C45" s="834"/>
      <c r="D45" s="834"/>
      <c r="E45" s="834"/>
      <c r="F45" s="834"/>
      <c r="G45" s="834"/>
      <c r="H45" s="834"/>
      <c r="I45" s="833"/>
      <c r="J45" s="835" t="s">
        <v>738</v>
      </c>
      <c r="K45" s="836"/>
      <c r="L45" s="836"/>
      <c r="M45" s="837"/>
      <c r="N45" s="835" t="s">
        <v>739</v>
      </c>
      <c r="O45" s="837"/>
      <c r="P45" s="454" t="s">
        <v>740</v>
      </c>
    </row>
    <row r="46" spans="1:16" ht="2.25" customHeight="1">
      <c r="A46" s="455"/>
      <c r="B46" s="455"/>
      <c r="C46" s="455"/>
      <c r="D46" s="455"/>
      <c r="E46" s="455"/>
      <c r="F46" s="455"/>
      <c r="G46" s="455"/>
      <c r="H46" s="455"/>
      <c r="I46" s="455"/>
      <c r="J46" s="455"/>
      <c r="K46" s="455"/>
      <c r="L46" s="455"/>
      <c r="M46" s="455"/>
      <c r="N46" s="455"/>
      <c r="O46" s="455"/>
      <c r="P46" s="455"/>
    </row>
    <row r="47" spans="1:16" ht="8.25" customHeight="1">
      <c r="A47" s="833" t="s">
        <v>383</v>
      </c>
      <c r="B47" s="834"/>
      <c r="C47" s="834"/>
      <c r="D47" s="834"/>
      <c r="E47" s="834"/>
      <c r="F47" s="834"/>
      <c r="G47" s="834"/>
      <c r="H47" s="834"/>
      <c r="I47" s="833"/>
      <c r="J47" s="848" t="s">
        <v>711</v>
      </c>
      <c r="K47" s="822"/>
      <c r="L47" s="822"/>
      <c r="M47" s="821"/>
      <c r="N47" s="848" t="s">
        <v>712</v>
      </c>
      <c r="O47" s="821"/>
      <c r="P47" s="452" t="s">
        <v>713</v>
      </c>
    </row>
    <row r="48" spans="1:16" ht="8.25" customHeight="1">
      <c r="A48" s="863" t="s">
        <v>384</v>
      </c>
      <c r="B48" s="864"/>
      <c r="C48" s="864"/>
      <c r="D48" s="864"/>
      <c r="E48" s="864"/>
      <c r="F48" s="864"/>
      <c r="G48" s="864"/>
      <c r="H48" s="864"/>
      <c r="I48" s="863"/>
      <c r="J48" s="875" t="s">
        <v>735</v>
      </c>
      <c r="K48" s="876"/>
      <c r="L48" s="876"/>
      <c r="M48" s="877"/>
      <c r="N48" s="875" t="s">
        <v>735</v>
      </c>
      <c r="O48" s="877"/>
      <c r="P48" s="459" t="s">
        <v>735</v>
      </c>
    </row>
    <row r="49" spans="1:16" ht="3" customHeight="1">
      <c r="A49" s="455"/>
      <c r="B49" s="455"/>
      <c r="C49" s="455"/>
      <c r="D49" s="455"/>
      <c r="E49" s="455"/>
      <c r="F49" s="455"/>
      <c r="G49" s="455"/>
      <c r="H49" s="455"/>
      <c r="I49" s="455"/>
      <c r="J49" s="455"/>
      <c r="K49" s="455"/>
      <c r="L49" s="455"/>
      <c r="M49" s="455"/>
      <c r="N49" s="455"/>
      <c r="O49" s="455"/>
      <c r="P49" s="455"/>
    </row>
    <row r="50" spans="1:16" ht="8.25" customHeight="1">
      <c r="A50" s="833" t="s">
        <v>164</v>
      </c>
      <c r="B50" s="834"/>
      <c r="C50" s="834"/>
      <c r="D50" s="834"/>
      <c r="E50" s="834"/>
      <c r="F50" s="834"/>
      <c r="G50" s="834"/>
      <c r="H50" s="834"/>
      <c r="I50" s="833"/>
      <c r="J50" s="848" t="s">
        <v>711</v>
      </c>
      <c r="K50" s="822"/>
      <c r="L50" s="822"/>
      <c r="M50" s="821"/>
      <c r="N50" s="848" t="s">
        <v>712</v>
      </c>
      <c r="O50" s="821"/>
      <c r="P50" s="452" t="s">
        <v>713</v>
      </c>
    </row>
    <row r="51" spans="1:16" ht="8.25" customHeight="1">
      <c r="A51" s="863" t="s">
        <v>384</v>
      </c>
      <c r="B51" s="864"/>
      <c r="C51" s="864"/>
      <c r="D51" s="864"/>
      <c r="E51" s="864"/>
      <c r="F51" s="864"/>
      <c r="G51" s="864"/>
      <c r="H51" s="864"/>
      <c r="I51" s="863"/>
      <c r="J51" s="875" t="s">
        <v>741</v>
      </c>
      <c r="K51" s="876"/>
      <c r="L51" s="876"/>
      <c r="M51" s="877"/>
      <c r="N51" s="875" t="s">
        <v>742</v>
      </c>
      <c r="O51" s="877"/>
      <c r="P51" s="459" t="s">
        <v>743</v>
      </c>
    </row>
    <row r="52" spans="1:16" ht="3" customHeight="1">
      <c r="A52" s="453"/>
      <c r="B52" s="453"/>
      <c r="C52" s="453"/>
      <c r="D52" s="453"/>
      <c r="E52" s="453"/>
      <c r="F52" s="453"/>
      <c r="G52" s="453"/>
      <c r="H52" s="453"/>
      <c r="I52" s="453"/>
      <c r="J52" s="453"/>
      <c r="K52" s="453"/>
      <c r="L52" s="453"/>
      <c r="M52" s="453"/>
      <c r="N52" s="453"/>
      <c r="O52" s="453"/>
      <c r="P52" s="453"/>
    </row>
    <row r="53" spans="1:16" ht="3" customHeight="1">
      <c r="A53" s="451"/>
      <c r="B53" s="451"/>
      <c r="C53" s="451"/>
      <c r="D53" s="451"/>
      <c r="E53" s="451"/>
      <c r="F53" s="451"/>
      <c r="G53" s="451"/>
      <c r="H53" s="451"/>
      <c r="I53" s="451"/>
      <c r="J53" s="451"/>
      <c r="K53" s="451"/>
      <c r="L53" s="451"/>
      <c r="M53" s="451"/>
      <c r="N53" s="451"/>
      <c r="O53" s="451"/>
      <c r="P53" s="451"/>
    </row>
    <row r="54" spans="1:16" ht="7.5" customHeight="1">
      <c r="A54" s="833" t="s">
        <v>744</v>
      </c>
      <c r="B54" s="834"/>
      <c r="C54" s="834"/>
      <c r="D54" s="834"/>
      <c r="E54" s="834"/>
      <c r="F54" s="834"/>
      <c r="G54" s="834"/>
      <c r="H54" s="834"/>
      <c r="I54" s="833"/>
      <c r="J54" s="848" t="s">
        <v>711</v>
      </c>
      <c r="K54" s="822"/>
      <c r="L54" s="822"/>
      <c r="M54" s="821"/>
      <c r="N54" s="848" t="s">
        <v>712</v>
      </c>
      <c r="O54" s="821"/>
      <c r="P54" s="452" t="s">
        <v>713</v>
      </c>
    </row>
    <row r="55" spans="1:16" ht="8.25" customHeight="1">
      <c r="A55" s="453"/>
      <c r="B55" s="849" t="s">
        <v>385</v>
      </c>
      <c r="C55" s="850"/>
      <c r="D55" s="850"/>
      <c r="E55" s="850"/>
      <c r="F55" s="850"/>
      <c r="G55" s="850"/>
      <c r="H55" s="850"/>
      <c r="I55" s="849"/>
      <c r="J55" s="851" t="s">
        <v>735</v>
      </c>
      <c r="K55" s="852"/>
      <c r="L55" s="852"/>
      <c r="M55" s="853"/>
      <c r="N55" s="851" t="s">
        <v>735</v>
      </c>
      <c r="O55" s="853"/>
      <c r="P55" s="456" t="s">
        <v>735</v>
      </c>
    </row>
    <row r="56" spans="2:16" ht="8.25" customHeight="1">
      <c r="B56" s="838" t="s">
        <v>386</v>
      </c>
      <c r="C56" s="839"/>
      <c r="D56" s="839"/>
      <c r="E56" s="839"/>
      <c r="F56" s="839"/>
      <c r="G56" s="839"/>
      <c r="H56" s="839"/>
      <c r="I56" s="838"/>
      <c r="J56" s="840" t="s">
        <v>735</v>
      </c>
      <c r="K56" s="841"/>
      <c r="L56" s="841"/>
      <c r="M56" s="842"/>
      <c r="N56" s="840" t="s">
        <v>735</v>
      </c>
      <c r="O56" s="842"/>
      <c r="P56" s="457" t="s">
        <v>735</v>
      </c>
    </row>
    <row r="57" spans="2:16" ht="8.25" customHeight="1">
      <c r="B57" s="838" t="s">
        <v>387</v>
      </c>
      <c r="C57" s="839"/>
      <c r="D57" s="839"/>
      <c r="E57" s="839"/>
      <c r="F57" s="839"/>
      <c r="G57" s="839"/>
      <c r="H57" s="839"/>
      <c r="I57" s="838"/>
      <c r="J57" s="840" t="s">
        <v>745</v>
      </c>
      <c r="K57" s="841"/>
      <c r="L57" s="841"/>
      <c r="M57" s="842"/>
      <c r="N57" s="840" t="s">
        <v>746</v>
      </c>
      <c r="O57" s="842"/>
      <c r="P57" s="457" t="s">
        <v>747</v>
      </c>
    </row>
    <row r="58" spans="1:16" ht="8.25" customHeight="1">
      <c r="A58" s="451"/>
      <c r="B58" s="843" t="s">
        <v>388</v>
      </c>
      <c r="C58" s="844"/>
      <c r="D58" s="844"/>
      <c r="E58" s="844"/>
      <c r="F58" s="844"/>
      <c r="G58" s="844"/>
      <c r="H58" s="844"/>
      <c r="I58" s="843"/>
      <c r="J58" s="845" t="s">
        <v>748</v>
      </c>
      <c r="K58" s="846"/>
      <c r="L58" s="846"/>
      <c r="M58" s="847"/>
      <c r="N58" s="845" t="s">
        <v>749</v>
      </c>
      <c r="O58" s="847"/>
      <c r="P58" s="458" t="s">
        <v>750</v>
      </c>
    </row>
    <row r="59" spans="1:16" ht="3" customHeight="1">
      <c r="A59" s="814"/>
      <c r="B59" s="814"/>
      <c r="C59" s="814"/>
      <c r="D59" s="814"/>
      <c r="E59" s="814"/>
      <c r="F59" s="814"/>
      <c r="G59" s="814"/>
      <c r="H59" s="814"/>
      <c r="I59" s="814"/>
      <c r="J59" s="814"/>
      <c r="K59" s="814"/>
      <c r="L59" s="814"/>
      <c r="M59" s="814"/>
      <c r="N59" s="814"/>
      <c r="O59" s="814"/>
      <c r="P59" s="814"/>
    </row>
    <row r="60" spans="1:16" ht="7.5" customHeight="1">
      <c r="A60" s="833" t="s">
        <v>751</v>
      </c>
      <c r="B60" s="834"/>
      <c r="C60" s="834"/>
      <c r="D60" s="834"/>
      <c r="E60" s="834"/>
      <c r="F60" s="834"/>
      <c r="G60" s="834"/>
      <c r="H60" s="834"/>
      <c r="I60" s="833"/>
      <c r="J60" s="848" t="s">
        <v>711</v>
      </c>
      <c r="K60" s="822"/>
      <c r="L60" s="822"/>
      <c r="M60" s="821"/>
      <c r="N60" s="848" t="s">
        <v>712</v>
      </c>
      <c r="O60" s="821"/>
      <c r="P60" s="452" t="s">
        <v>713</v>
      </c>
    </row>
    <row r="61" spans="1:16" ht="8.25" customHeight="1">
      <c r="A61" s="453"/>
      <c r="B61" s="849" t="s">
        <v>389</v>
      </c>
      <c r="C61" s="850"/>
      <c r="D61" s="850"/>
      <c r="E61" s="850"/>
      <c r="F61" s="850"/>
      <c r="G61" s="850"/>
      <c r="H61" s="850"/>
      <c r="I61" s="849"/>
      <c r="J61" s="854" t="s">
        <v>752</v>
      </c>
      <c r="K61" s="859"/>
      <c r="L61" s="859"/>
      <c r="M61" s="855"/>
      <c r="N61" s="854" t="s">
        <v>753</v>
      </c>
      <c r="O61" s="855"/>
      <c r="P61" s="445" t="s">
        <v>754</v>
      </c>
    </row>
    <row r="62" spans="2:16" ht="8.25" customHeight="1">
      <c r="B62" s="838" t="s">
        <v>390</v>
      </c>
      <c r="C62" s="839"/>
      <c r="D62" s="839"/>
      <c r="E62" s="839"/>
      <c r="F62" s="839"/>
      <c r="G62" s="839"/>
      <c r="H62" s="839"/>
      <c r="I62" s="838"/>
      <c r="J62" s="860">
        <v>0</v>
      </c>
      <c r="K62" s="861"/>
      <c r="L62" s="861"/>
      <c r="M62" s="862"/>
      <c r="N62" s="860">
        <v>0</v>
      </c>
      <c r="O62" s="862"/>
      <c r="P62" s="446">
        <v>0</v>
      </c>
    </row>
    <row r="63" spans="1:16" ht="8.25" customHeight="1">
      <c r="A63" s="451"/>
      <c r="B63" s="843" t="s">
        <v>755</v>
      </c>
      <c r="C63" s="844"/>
      <c r="D63" s="844"/>
      <c r="E63" s="844"/>
      <c r="F63" s="844"/>
      <c r="G63" s="844"/>
      <c r="H63" s="844"/>
      <c r="I63" s="843"/>
      <c r="J63" s="856">
        <v>0</v>
      </c>
      <c r="K63" s="857"/>
      <c r="L63" s="857"/>
      <c r="M63" s="858"/>
      <c r="N63" s="856">
        <v>0</v>
      </c>
      <c r="O63" s="858"/>
      <c r="P63" s="447">
        <v>0</v>
      </c>
    </row>
    <row r="64" spans="1:16" ht="11.25" customHeight="1">
      <c r="A64" s="868"/>
      <c r="B64" s="868"/>
      <c r="C64" s="868"/>
      <c r="D64" s="868"/>
      <c r="E64" s="868"/>
      <c r="F64" s="868"/>
      <c r="G64" s="868"/>
      <c r="H64" s="868"/>
      <c r="I64" s="868"/>
      <c r="J64" s="868"/>
      <c r="K64" s="868"/>
      <c r="L64" s="868"/>
      <c r="M64" s="868"/>
      <c r="N64" s="868"/>
      <c r="O64" s="868"/>
      <c r="P64" s="868"/>
    </row>
    <row r="69" spans="1:16" ht="8.25" customHeight="1">
      <c r="A69" s="869" t="s">
        <v>756</v>
      </c>
      <c r="B69" s="869"/>
      <c r="C69" s="869"/>
      <c r="D69" s="869"/>
      <c r="E69" s="869"/>
      <c r="F69" s="869"/>
      <c r="G69" s="869"/>
      <c r="H69" s="869"/>
      <c r="I69" s="869"/>
      <c r="J69" s="869"/>
      <c r="K69" s="869"/>
      <c r="L69" s="869"/>
      <c r="M69" s="869"/>
      <c r="N69" s="870"/>
      <c r="O69" s="870"/>
      <c r="P69" s="870"/>
    </row>
    <row r="70" spans="13:17" ht="14.25" customHeight="1">
      <c r="M70" s="448"/>
      <c r="N70" s="871" t="s">
        <v>757</v>
      </c>
      <c r="O70" s="872"/>
      <c r="P70" s="873"/>
      <c r="Q70" s="449"/>
    </row>
    <row r="71" spans="1:16" ht="3" customHeight="1">
      <c r="A71" s="451"/>
      <c r="B71" s="451"/>
      <c r="C71" s="451"/>
      <c r="D71" s="451"/>
      <c r="E71" s="451"/>
      <c r="F71" s="451"/>
      <c r="G71" s="451"/>
      <c r="H71" s="451"/>
      <c r="I71" s="451"/>
      <c r="J71" s="451"/>
      <c r="K71" s="451"/>
      <c r="L71" s="451"/>
      <c r="M71" s="451"/>
      <c r="N71" s="460"/>
      <c r="O71" s="460"/>
      <c r="P71" s="460"/>
    </row>
    <row r="72" spans="1:16" ht="7.5" customHeight="1">
      <c r="A72" s="874" t="s">
        <v>758</v>
      </c>
      <c r="B72" s="874"/>
      <c r="C72" s="874"/>
      <c r="D72" s="874"/>
      <c r="E72" s="874"/>
      <c r="F72" s="874"/>
      <c r="G72" s="874"/>
      <c r="H72" s="874"/>
      <c r="I72" s="874"/>
      <c r="J72" s="874"/>
      <c r="K72" s="874"/>
      <c r="L72" s="874"/>
      <c r="M72" s="874"/>
      <c r="N72" s="874"/>
      <c r="O72" s="874"/>
      <c r="P72" s="874"/>
    </row>
    <row r="73" spans="1:16" ht="3" customHeight="1">
      <c r="A73" s="451"/>
      <c r="B73" s="451"/>
      <c r="C73" s="451"/>
      <c r="D73" s="451"/>
      <c r="E73" s="451"/>
      <c r="F73" s="451"/>
      <c r="G73" s="451"/>
      <c r="H73" s="451"/>
      <c r="I73" s="451"/>
      <c r="J73" s="451"/>
      <c r="K73" s="451"/>
      <c r="L73" s="451"/>
      <c r="M73" s="451"/>
      <c r="N73" s="451"/>
      <c r="O73" s="451"/>
      <c r="P73" s="451"/>
    </row>
    <row r="74" spans="1:16" ht="8.25" customHeight="1">
      <c r="A74" s="833" t="s">
        <v>759</v>
      </c>
      <c r="B74" s="834"/>
      <c r="C74" s="834"/>
      <c r="D74" s="834"/>
      <c r="E74" s="834"/>
      <c r="F74" s="834"/>
      <c r="G74" s="834"/>
      <c r="H74" s="834"/>
      <c r="I74" s="833"/>
      <c r="J74" s="848" t="s">
        <v>711</v>
      </c>
      <c r="K74" s="822"/>
      <c r="L74" s="822"/>
      <c r="M74" s="821"/>
      <c r="N74" s="848" t="s">
        <v>712</v>
      </c>
      <c r="O74" s="821"/>
      <c r="P74" s="452" t="s">
        <v>713</v>
      </c>
    </row>
    <row r="75" spans="1:16" ht="8.25" customHeight="1">
      <c r="A75" s="453"/>
      <c r="B75" s="849" t="s">
        <v>582</v>
      </c>
      <c r="C75" s="850"/>
      <c r="D75" s="850"/>
      <c r="E75" s="850"/>
      <c r="F75" s="850"/>
      <c r="G75" s="850"/>
      <c r="H75" s="850"/>
      <c r="I75" s="849"/>
      <c r="J75" s="854">
        <v>0</v>
      </c>
      <c r="K75" s="859"/>
      <c r="L75" s="859"/>
      <c r="M75" s="855"/>
      <c r="N75" s="854">
        <v>0</v>
      </c>
      <c r="O75" s="855"/>
      <c r="P75" s="445">
        <v>0</v>
      </c>
    </row>
    <row r="76" spans="3:16" ht="8.25" customHeight="1">
      <c r="C76" s="838" t="s">
        <v>391</v>
      </c>
      <c r="D76" s="839"/>
      <c r="E76" s="839"/>
      <c r="F76" s="839"/>
      <c r="G76" s="839"/>
      <c r="H76" s="839"/>
      <c r="I76" s="838"/>
      <c r="J76" s="860">
        <v>0</v>
      </c>
      <c r="K76" s="861"/>
      <c r="L76" s="861"/>
      <c r="M76" s="862"/>
      <c r="N76" s="860">
        <v>0</v>
      </c>
      <c r="O76" s="862"/>
      <c r="P76" s="446">
        <v>0</v>
      </c>
    </row>
    <row r="77" spans="4:16" ht="8.25" customHeight="1">
      <c r="D77" s="838" t="s">
        <v>714</v>
      </c>
      <c r="E77" s="839"/>
      <c r="F77" s="839"/>
      <c r="G77" s="839"/>
      <c r="H77" s="839"/>
      <c r="I77" s="838"/>
      <c r="J77" s="860">
        <v>0</v>
      </c>
      <c r="K77" s="861"/>
      <c r="L77" s="861"/>
      <c r="M77" s="862"/>
      <c r="N77" s="860">
        <v>0</v>
      </c>
      <c r="O77" s="862"/>
      <c r="P77" s="446">
        <v>0</v>
      </c>
    </row>
    <row r="78" spans="4:16" ht="7.5" customHeight="1">
      <c r="D78" s="838" t="s">
        <v>715</v>
      </c>
      <c r="E78" s="839"/>
      <c r="F78" s="839"/>
      <c r="G78" s="839"/>
      <c r="H78" s="839"/>
      <c r="I78" s="838"/>
      <c r="J78" s="860">
        <v>0</v>
      </c>
      <c r="K78" s="861"/>
      <c r="L78" s="861"/>
      <c r="M78" s="862"/>
      <c r="N78" s="860">
        <v>0</v>
      </c>
      <c r="O78" s="862"/>
      <c r="P78" s="446">
        <v>0</v>
      </c>
    </row>
    <row r="79" spans="4:16" ht="8.25" customHeight="1">
      <c r="D79" s="838" t="s">
        <v>716</v>
      </c>
      <c r="E79" s="839"/>
      <c r="F79" s="839"/>
      <c r="G79" s="839"/>
      <c r="H79" s="839"/>
      <c r="I79" s="838"/>
      <c r="J79" s="860">
        <v>0</v>
      </c>
      <c r="K79" s="861"/>
      <c r="L79" s="861"/>
      <c r="M79" s="862"/>
      <c r="N79" s="860">
        <v>0</v>
      </c>
      <c r="O79" s="862"/>
      <c r="P79" s="446">
        <v>0</v>
      </c>
    </row>
    <row r="80" spans="3:16" ht="8.25" customHeight="1">
      <c r="C80" s="838" t="s">
        <v>392</v>
      </c>
      <c r="D80" s="839"/>
      <c r="E80" s="839"/>
      <c r="F80" s="839"/>
      <c r="G80" s="839"/>
      <c r="H80" s="839"/>
      <c r="I80" s="838"/>
      <c r="J80" s="860">
        <v>0</v>
      </c>
      <c r="K80" s="861"/>
      <c r="L80" s="861"/>
      <c r="M80" s="862"/>
      <c r="N80" s="860">
        <v>0</v>
      </c>
      <c r="O80" s="862"/>
      <c r="P80" s="446">
        <v>0</v>
      </c>
    </row>
    <row r="81" spans="4:16" ht="8.25" customHeight="1">
      <c r="D81" s="838" t="s">
        <v>714</v>
      </c>
      <c r="E81" s="839"/>
      <c r="F81" s="839"/>
      <c r="G81" s="839"/>
      <c r="H81" s="839"/>
      <c r="I81" s="838"/>
      <c r="J81" s="860">
        <v>0</v>
      </c>
      <c r="K81" s="861"/>
      <c r="L81" s="861"/>
      <c r="M81" s="862"/>
      <c r="N81" s="860">
        <v>0</v>
      </c>
      <c r="O81" s="862"/>
      <c r="P81" s="446">
        <v>0</v>
      </c>
    </row>
    <row r="82" spans="4:16" ht="8.25" customHeight="1">
      <c r="D82" s="838" t="s">
        <v>715</v>
      </c>
      <c r="E82" s="839"/>
      <c r="F82" s="839"/>
      <c r="G82" s="839"/>
      <c r="H82" s="839"/>
      <c r="I82" s="838"/>
      <c r="J82" s="860">
        <v>0</v>
      </c>
      <c r="K82" s="861"/>
      <c r="L82" s="861"/>
      <c r="M82" s="862"/>
      <c r="N82" s="860">
        <v>0</v>
      </c>
      <c r="O82" s="862"/>
      <c r="P82" s="446">
        <v>0</v>
      </c>
    </row>
    <row r="83" spans="4:16" ht="7.5" customHeight="1">
      <c r="D83" s="838" t="s">
        <v>716</v>
      </c>
      <c r="E83" s="839"/>
      <c r="F83" s="839"/>
      <c r="G83" s="839"/>
      <c r="H83" s="839"/>
      <c r="I83" s="838"/>
      <c r="J83" s="860">
        <v>0</v>
      </c>
      <c r="K83" s="861"/>
      <c r="L83" s="861"/>
      <c r="M83" s="862"/>
      <c r="N83" s="860">
        <v>0</v>
      </c>
      <c r="O83" s="862"/>
      <c r="P83" s="446">
        <v>0</v>
      </c>
    </row>
    <row r="84" spans="3:16" ht="8.25" customHeight="1">
      <c r="C84" s="838" t="s">
        <v>213</v>
      </c>
      <c r="D84" s="839"/>
      <c r="E84" s="839"/>
      <c r="F84" s="839"/>
      <c r="G84" s="839"/>
      <c r="H84" s="839"/>
      <c r="I84" s="838"/>
      <c r="J84" s="860">
        <v>0</v>
      </c>
      <c r="K84" s="861"/>
      <c r="L84" s="861"/>
      <c r="M84" s="862"/>
      <c r="N84" s="860">
        <v>0</v>
      </c>
      <c r="O84" s="862"/>
      <c r="P84" s="446">
        <v>0</v>
      </c>
    </row>
    <row r="85" spans="4:16" ht="8.25" customHeight="1">
      <c r="D85" s="838" t="s">
        <v>375</v>
      </c>
      <c r="E85" s="839"/>
      <c r="F85" s="839"/>
      <c r="G85" s="839"/>
      <c r="H85" s="839"/>
      <c r="I85" s="838"/>
      <c r="J85" s="860">
        <v>0</v>
      </c>
      <c r="K85" s="861"/>
      <c r="L85" s="861"/>
      <c r="M85" s="862"/>
      <c r="N85" s="860">
        <v>0</v>
      </c>
      <c r="O85" s="862"/>
      <c r="P85" s="446">
        <v>0</v>
      </c>
    </row>
    <row r="86" spans="4:16" ht="8.25" customHeight="1">
      <c r="D86" s="838" t="s">
        <v>376</v>
      </c>
      <c r="E86" s="839"/>
      <c r="F86" s="839"/>
      <c r="G86" s="839"/>
      <c r="H86" s="839"/>
      <c r="I86" s="838"/>
      <c r="J86" s="860">
        <v>0</v>
      </c>
      <c r="K86" s="861"/>
      <c r="L86" s="861"/>
      <c r="M86" s="862"/>
      <c r="N86" s="860">
        <v>0</v>
      </c>
      <c r="O86" s="862"/>
      <c r="P86" s="446">
        <v>0</v>
      </c>
    </row>
    <row r="87" spans="4:16" ht="8.25" customHeight="1">
      <c r="D87" s="838" t="s">
        <v>377</v>
      </c>
      <c r="E87" s="839"/>
      <c r="F87" s="839"/>
      <c r="G87" s="839"/>
      <c r="H87" s="839"/>
      <c r="I87" s="838"/>
      <c r="J87" s="860">
        <v>0</v>
      </c>
      <c r="K87" s="861"/>
      <c r="L87" s="861"/>
      <c r="M87" s="862"/>
      <c r="N87" s="860">
        <v>0</v>
      </c>
      <c r="O87" s="862"/>
      <c r="P87" s="446">
        <v>0</v>
      </c>
    </row>
    <row r="88" spans="3:16" ht="8.25" customHeight="1">
      <c r="C88" s="838" t="s">
        <v>235</v>
      </c>
      <c r="D88" s="839"/>
      <c r="E88" s="839"/>
      <c r="F88" s="839"/>
      <c r="G88" s="839"/>
      <c r="H88" s="839"/>
      <c r="I88" s="838"/>
      <c r="J88" s="860">
        <v>0</v>
      </c>
      <c r="K88" s="861"/>
      <c r="L88" s="861"/>
      <c r="M88" s="862"/>
      <c r="N88" s="860">
        <v>0</v>
      </c>
      <c r="O88" s="862"/>
      <c r="P88" s="446">
        <v>0</v>
      </c>
    </row>
    <row r="89" spans="3:16" ht="7.5" customHeight="1">
      <c r="C89" s="838" t="s">
        <v>290</v>
      </c>
      <c r="D89" s="839"/>
      <c r="E89" s="839"/>
      <c r="F89" s="839"/>
      <c r="G89" s="839"/>
      <c r="H89" s="839"/>
      <c r="I89" s="838"/>
      <c r="J89" s="860">
        <v>0</v>
      </c>
      <c r="K89" s="861"/>
      <c r="L89" s="861"/>
      <c r="M89" s="862"/>
      <c r="N89" s="860">
        <v>0</v>
      </c>
      <c r="O89" s="862"/>
      <c r="P89" s="446">
        <v>0</v>
      </c>
    </row>
    <row r="90" spans="4:16" ht="8.25" customHeight="1">
      <c r="D90" s="838" t="s">
        <v>717</v>
      </c>
      <c r="E90" s="839"/>
      <c r="F90" s="839"/>
      <c r="G90" s="839"/>
      <c r="H90" s="839"/>
      <c r="I90" s="838"/>
      <c r="J90" s="860">
        <v>0</v>
      </c>
      <c r="K90" s="861"/>
      <c r="L90" s="861"/>
      <c r="M90" s="862"/>
      <c r="N90" s="860">
        <v>0</v>
      </c>
      <c r="O90" s="862"/>
      <c r="P90" s="446">
        <v>0</v>
      </c>
    </row>
    <row r="91" spans="4:16" ht="8.25" customHeight="1">
      <c r="D91" s="838" t="s">
        <v>296</v>
      </c>
      <c r="E91" s="839"/>
      <c r="F91" s="839"/>
      <c r="G91" s="839"/>
      <c r="H91" s="839"/>
      <c r="I91" s="838"/>
      <c r="J91" s="860">
        <v>0</v>
      </c>
      <c r="K91" s="861"/>
      <c r="L91" s="861"/>
      <c r="M91" s="862"/>
      <c r="N91" s="860">
        <v>0</v>
      </c>
      <c r="O91" s="862"/>
      <c r="P91" s="446">
        <v>0</v>
      </c>
    </row>
    <row r="92" spans="2:16" ht="8.25" customHeight="1">
      <c r="B92" s="838" t="s">
        <v>583</v>
      </c>
      <c r="C92" s="839"/>
      <c r="D92" s="839"/>
      <c r="E92" s="839"/>
      <c r="F92" s="839"/>
      <c r="G92" s="839"/>
      <c r="H92" s="839"/>
      <c r="I92" s="838"/>
      <c r="J92" s="860">
        <v>0</v>
      </c>
      <c r="K92" s="861"/>
      <c r="L92" s="861"/>
      <c r="M92" s="862"/>
      <c r="N92" s="860">
        <v>0</v>
      </c>
      <c r="O92" s="862"/>
      <c r="P92" s="446">
        <v>0</v>
      </c>
    </row>
    <row r="93" spans="3:16" ht="8.25" customHeight="1">
      <c r="C93" s="838" t="s">
        <v>378</v>
      </c>
      <c r="D93" s="839"/>
      <c r="E93" s="839"/>
      <c r="F93" s="839"/>
      <c r="G93" s="839"/>
      <c r="H93" s="839"/>
      <c r="I93" s="838"/>
      <c r="J93" s="860">
        <v>0</v>
      </c>
      <c r="K93" s="861"/>
      <c r="L93" s="861"/>
      <c r="M93" s="862"/>
      <c r="N93" s="860">
        <v>0</v>
      </c>
      <c r="O93" s="862"/>
      <c r="P93" s="446">
        <v>0</v>
      </c>
    </row>
    <row r="94" spans="3:16" ht="7.5" customHeight="1">
      <c r="C94" s="838" t="s">
        <v>315</v>
      </c>
      <c r="D94" s="839"/>
      <c r="E94" s="839"/>
      <c r="F94" s="839"/>
      <c r="G94" s="839"/>
      <c r="H94" s="839"/>
      <c r="I94" s="838"/>
      <c r="J94" s="860">
        <v>0</v>
      </c>
      <c r="K94" s="861"/>
      <c r="L94" s="861"/>
      <c r="M94" s="862"/>
      <c r="N94" s="860">
        <v>0</v>
      </c>
      <c r="O94" s="862"/>
      <c r="P94" s="446">
        <v>0</v>
      </c>
    </row>
    <row r="95" spans="1:16" ht="8.25" customHeight="1">
      <c r="A95" s="451"/>
      <c r="B95" s="451"/>
      <c r="C95" s="843" t="s">
        <v>326</v>
      </c>
      <c r="D95" s="844"/>
      <c r="E95" s="844"/>
      <c r="F95" s="844"/>
      <c r="G95" s="844"/>
      <c r="H95" s="844"/>
      <c r="I95" s="843"/>
      <c r="J95" s="856">
        <v>0</v>
      </c>
      <c r="K95" s="857"/>
      <c r="L95" s="857"/>
      <c r="M95" s="858"/>
      <c r="N95" s="856">
        <v>0</v>
      </c>
      <c r="O95" s="858"/>
      <c r="P95" s="447">
        <v>0</v>
      </c>
    </row>
    <row r="96" spans="1:16" ht="8.25" customHeight="1">
      <c r="A96" s="833" t="s">
        <v>760</v>
      </c>
      <c r="B96" s="834"/>
      <c r="C96" s="834"/>
      <c r="D96" s="834"/>
      <c r="E96" s="834"/>
      <c r="F96" s="834"/>
      <c r="G96" s="834"/>
      <c r="H96" s="834"/>
      <c r="I96" s="833"/>
      <c r="J96" s="835">
        <v>0</v>
      </c>
      <c r="K96" s="836"/>
      <c r="L96" s="836"/>
      <c r="M96" s="837"/>
      <c r="N96" s="835">
        <v>0</v>
      </c>
      <c r="O96" s="837"/>
      <c r="P96" s="454">
        <v>0</v>
      </c>
    </row>
    <row r="97" spans="1:16" ht="3" customHeight="1">
      <c r="A97" s="455"/>
      <c r="B97" s="455"/>
      <c r="C97" s="455"/>
      <c r="D97" s="455"/>
      <c r="E97" s="455"/>
      <c r="F97" s="455"/>
      <c r="G97" s="455"/>
      <c r="H97" s="455"/>
      <c r="I97" s="455"/>
      <c r="J97" s="455"/>
      <c r="K97" s="455"/>
      <c r="L97" s="455"/>
      <c r="M97" s="455"/>
      <c r="N97" s="455"/>
      <c r="O97" s="455"/>
      <c r="P97" s="455"/>
    </row>
    <row r="98" spans="1:16" ht="8.25" customHeight="1">
      <c r="A98" s="833" t="s">
        <v>761</v>
      </c>
      <c r="B98" s="834"/>
      <c r="C98" s="834"/>
      <c r="D98" s="834"/>
      <c r="E98" s="834"/>
      <c r="F98" s="834"/>
      <c r="G98" s="834"/>
      <c r="H98" s="834"/>
      <c r="I98" s="833"/>
      <c r="J98" s="848" t="s">
        <v>711</v>
      </c>
      <c r="K98" s="822"/>
      <c r="L98" s="822"/>
      <c r="M98" s="821"/>
      <c r="N98" s="848" t="s">
        <v>712</v>
      </c>
      <c r="O98" s="821"/>
      <c r="P98" s="452" t="s">
        <v>713</v>
      </c>
    </row>
    <row r="99" spans="1:16" ht="8.25" customHeight="1">
      <c r="A99" s="453"/>
      <c r="B99" s="849" t="s">
        <v>724</v>
      </c>
      <c r="C99" s="850"/>
      <c r="D99" s="850"/>
      <c r="E99" s="850"/>
      <c r="F99" s="850"/>
      <c r="G99" s="850"/>
      <c r="H99" s="850"/>
      <c r="I99" s="849"/>
      <c r="J99" s="851" t="s">
        <v>735</v>
      </c>
      <c r="K99" s="852"/>
      <c r="L99" s="852"/>
      <c r="M99" s="853"/>
      <c r="N99" s="851" t="s">
        <v>735</v>
      </c>
      <c r="O99" s="853"/>
      <c r="P99" s="456" t="s">
        <v>735</v>
      </c>
    </row>
    <row r="100" spans="3:16" ht="7.5" customHeight="1">
      <c r="C100" s="838" t="s">
        <v>379</v>
      </c>
      <c r="D100" s="839"/>
      <c r="E100" s="839"/>
      <c r="F100" s="839"/>
      <c r="G100" s="839"/>
      <c r="H100" s="839"/>
      <c r="I100" s="838"/>
      <c r="J100" s="840" t="s">
        <v>735</v>
      </c>
      <c r="K100" s="841"/>
      <c r="L100" s="841"/>
      <c r="M100" s="842"/>
      <c r="N100" s="840" t="s">
        <v>735</v>
      </c>
      <c r="O100" s="842"/>
      <c r="P100" s="457" t="s">
        <v>735</v>
      </c>
    </row>
    <row r="101" spans="3:16" ht="8.25" customHeight="1">
      <c r="C101" s="838" t="s">
        <v>731</v>
      </c>
      <c r="D101" s="839"/>
      <c r="E101" s="839"/>
      <c r="F101" s="839"/>
      <c r="G101" s="839"/>
      <c r="H101" s="839"/>
      <c r="I101" s="838"/>
      <c r="J101" s="840" t="s">
        <v>735</v>
      </c>
      <c r="K101" s="841"/>
      <c r="L101" s="841"/>
      <c r="M101" s="842"/>
      <c r="N101" s="840" t="s">
        <v>735</v>
      </c>
      <c r="O101" s="842"/>
      <c r="P101" s="457" t="s">
        <v>735</v>
      </c>
    </row>
    <row r="102" spans="2:16" ht="8.25" customHeight="1">
      <c r="B102" s="838" t="s">
        <v>381</v>
      </c>
      <c r="C102" s="839"/>
      <c r="D102" s="839"/>
      <c r="E102" s="839"/>
      <c r="F102" s="839"/>
      <c r="G102" s="839"/>
      <c r="H102" s="839"/>
      <c r="I102" s="838"/>
      <c r="J102" s="840" t="s">
        <v>735</v>
      </c>
      <c r="K102" s="841"/>
      <c r="L102" s="841"/>
      <c r="M102" s="842"/>
      <c r="N102" s="840" t="s">
        <v>735</v>
      </c>
      <c r="O102" s="842"/>
      <c r="P102" s="457" t="s">
        <v>735</v>
      </c>
    </row>
    <row r="103" spans="3:16" ht="8.25" customHeight="1">
      <c r="C103" s="838" t="s">
        <v>717</v>
      </c>
      <c r="D103" s="839"/>
      <c r="E103" s="839"/>
      <c r="F103" s="839"/>
      <c r="G103" s="839"/>
      <c r="H103" s="839"/>
      <c r="I103" s="838"/>
      <c r="J103" s="840" t="s">
        <v>735</v>
      </c>
      <c r="K103" s="841"/>
      <c r="L103" s="841"/>
      <c r="M103" s="842"/>
      <c r="N103" s="840" t="s">
        <v>735</v>
      </c>
      <c r="O103" s="842"/>
      <c r="P103" s="457" t="s">
        <v>735</v>
      </c>
    </row>
    <row r="104" spans="1:16" ht="8.25" customHeight="1">
      <c r="A104" s="451"/>
      <c r="B104" s="451"/>
      <c r="C104" s="843" t="s">
        <v>382</v>
      </c>
      <c r="D104" s="844"/>
      <c r="E104" s="844"/>
      <c r="F104" s="844"/>
      <c r="G104" s="844"/>
      <c r="H104" s="844"/>
      <c r="I104" s="843"/>
      <c r="J104" s="845" t="s">
        <v>735</v>
      </c>
      <c r="K104" s="846"/>
      <c r="L104" s="846"/>
      <c r="M104" s="847"/>
      <c r="N104" s="845" t="s">
        <v>735</v>
      </c>
      <c r="O104" s="847"/>
      <c r="P104" s="458" t="s">
        <v>735</v>
      </c>
    </row>
    <row r="105" spans="1:16" ht="7.5" customHeight="1">
      <c r="A105" s="833" t="s">
        <v>762</v>
      </c>
      <c r="B105" s="834"/>
      <c r="C105" s="834"/>
      <c r="D105" s="834"/>
      <c r="E105" s="834"/>
      <c r="F105" s="834"/>
      <c r="G105" s="834"/>
      <c r="H105" s="834"/>
      <c r="I105" s="833"/>
      <c r="J105" s="835">
        <v>0</v>
      </c>
      <c r="K105" s="836"/>
      <c r="L105" s="836"/>
      <c r="M105" s="837"/>
      <c r="N105" s="835">
        <v>0</v>
      </c>
      <c r="O105" s="837"/>
      <c r="P105" s="454">
        <v>0</v>
      </c>
    </row>
    <row r="106" spans="1:16" ht="3" customHeight="1">
      <c r="A106" s="455"/>
      <c r="B106" s="455"/>
      <c r="C106" s="455"/>
      <c r="D106" s="455"/>
      <c r="E106" s="455"/>
      <c r="F106" s="455"/>
      <c r="G106" s="455"/>
      <c r="H106" s="455"/>
      <c r="I106" s="455"/>
      <c r="J106" s="455"/>
      <c r="K106" s="455"/>
      <c r="L106" s="455"/>
      <c r="M106" s="455"/>
      <c r="N106" s="455"/>
      <c r="O106" s="455"/>
      <c r="P106" s="455"/>
    </row>
    <row r="107" spans="1:16" ht="8.25" customHeight="1">
      <c r="A107" s="833" t="s">
        <v>763</v>
      </c>
      <c r="B107" s="834"/>
      <c r="C107" s="834"/>
      <c r="D107" s="834"/>
      <c r="E107" s="834"/>
      <c r="F107" s="834"/>
      <c r="G107" s="834"/>
      <c r="H107" s="834"/>
      <c r="I107" s="833"/>
      <c r="J107" s="835">
        <v>0</v>
      </c>
      <c r="K107" s="836"/>
      <c r="L107" s="836"/>
      <c r="M107" s="837"/>
      <c r="N107" s="835">
        <v>0</v>
      </c>
      <c r="O107" s="837"/>
      <c r="P107" s="454">
        <v>0</v>
      </c>
    </row>
    <row r="108" spans="1:16" ht="3" customHeight="1">
      <c r="A108" s="455"/>
      <c r="B108" s="455"/>
      <c r="C108" s="455"/>
      <c r="D108" s="455"/>
      <c r="E108" s="455"/>
      <c r="F108" s="455"/>
      <c r="G108" s="455"/>
      <c r="H108" s="455"/>
      <c r="I108" s="455"/>
      <c r="J108" s="455"/>
      <c r="K108" s="455"/>
      <c r="L108" s="455"/>
      <c r="M108" s="455"/>
      <c r="N108" s="455"/>
      <c r="O108" s="455"/>
      <c r="P108" s="455"/>
    </row>
    <row r="109" spans="1:16" ht="8.25" customHeight="1">
      <c r="A109" s="833" t="s">
        <v>764</v>
      </c>
      <c r="B109" s="834"/>
      <c r="C109" s="834"/>
      <c r="D109" s="834"/>
      <c r="E109" s="834"/>
      <c r="F109" s="834"/>
      <c r="G109" s="834"/>
      <c r="H109" s="834"/>
      <c r="I109" s="833"/>
      <c r="J109" s="848" t="s">
        <v>711</v>
      </c>
      <c r="K109" s="822"/>
      <c r="L109" s="822"/>
      <c r="M109" s="821"/>
      <c r="N109" s="848" t="s">
        <v>712</v>
      </c>
      <c r="O109" s="821"/>
      <c r="P109" s="452" t="s">
        <v>713</v>
      </c>
    </row>
    <row r="110" spans="1:16" ht="8.25" customHeight="1">
      <c r="A110" s="453"/>
      <c r="B110" s="849" t="s">
        <v>393</v>
      </c>
      <c r="C110" s="850"/>
      <c r="D110" s="850"/>
      <c r="E110" s="850"/>
      <c r="F110" s="850"/>
      <c r="G110" s="850"/>
      <c r="H110" s="850"/>
      <c r="I110" s="849"/>
      <c r="J110" s="851" t="s">
        <v>735</v>
      </c>
      <c r="K110" s="852"/>
      <c r="L110" s="852"/>
      <c r="M110" s="853"/>
      <c r="N110" s="851" t="s">
        <v>735</v>
      </c>
      <c r="O110" s="853"/>
      <c r="P110" s="456" t="s">
        <v>735</v>
      </c>
    </row>
    <row r="111" spans="1:16" ht="8.25" customHeight="1">
      <c r="A111" s="451"/>
      <c r="B111" s="843" t="s">
        <v>394</v>
      </c>
      <c r="C111" s="844"/>
      <c r="D111" s="844"/>
      <c r="E111" s="844"/>
      <c r="F111" s="844"/>
      <c r="G111" s="844"/>
      <c r="H111" s="844"/>
      <c r="I111" s="843"/>
      <c r="J111" s="845" t="s">
        <v>735</v>
      </c>
      <c r="K111" s="846"/>
      <c r="L111" s="846"/>
      <c r="M111" s="847"/>
      <c r="N111" s="845" t="s">
        <v>735</v>
      </c>
      <c r="O111" s="847"/>
      <c r="P111" s="458" t="s">
        <v>735</v>
      </c>
    </row>
    <row r="112" spans="1:16" ht="7.5" customHeight="1">
      <c r="A112" s="833" t="s">
        <v>765</v>
      </c>
      <c r="B112" s="834"/>
      <c r="C112" s="834"/>
      <c r="D112" s="834"/>
      <c r="E112" s="834"/>
      <c r="F112" s="834"/>
      <c r="G112" s="834"/>
      <c r="H112" s="834"/>
      <c r="I112" s="833"/>
      <c r="J112" s="848" t="s">
        <v>711</v>
      </c>
      <c r="K112" s="822"/>
      <c r="L112" s="822"/>
      <c r="M112" s="821"/>
      <c r="N112" s="848" t="s">
        <v>712</v>
      </c>
      <c r="O112" s="821"/>
      <c r="P112" s="452" t="s">
        <v>713</v>
      </c>
    </row>
    <row r="113" spans="1:16" ht="8.25" customHeight="1">
      <c r="A113" s="453"/>
      <c r="B113" s="849" t="s">
        <v>389</v>
      </c>
      <c r="C113" s="850"/>
      <c r="D113" s="850"/>
      <c r="E113" s="850"/>
      <c r="F113" s="850"/>
      <c r="G113" s="850"/>
      <c r="H113" s="850"/>
      <c r="I113" s="849"/>
      <c r="J113" s="851" t="s">
        <v>735</v>
      </c>
      <c r="K113" s="852"/>
      <c r="L113" s="852"/>
      <c r="M113" s="853"/>
      <c r="N113" s="851" t="s">
        <v>735</v>
      </c>
      <c r="O113" s="853"/>
      <c r="P113" s="456" t="s">
        <v>735</v>
      </c>
    </row>
    <row r="114" spans="2:16" ht="8.25" customHeight="1">
      <c r="B114" s="838" t="s">
        <v>390</v>
      </c>
      <c r="C114" s="839"/>
      <c r="D114" s="839"/>
      <c r="E114" s="839"/>
      <c r="F114" s="839"/>
      <c r="G114" s="839"/>
      <c r="H114" s="839"/>
      <c r="I114" s="838"/>
      <c r="J114" s="840" t="s">
        <v>735</v>
      </c>
      <c r="K114" s="841"/>
      <c r="L114" s="841"/>
      <c r="M114" s="842"/>
      <c r="N114" s="840" t="s">
        <v>735</v>
      </c>
      <c r="O114" s="842"/>
      <c r="P114" s="457" t="s">
        <v>735</v>
      </c>
    </row>
    <row r="115" spans="1:16" ht="8.25" customHeight="1">
      <c r="A115" s="451"/>
      <c r="B115" s="843" t="s">
        <v>755</v>
      </c>
      <c r="C115" s="844"/>
      <c r="D115" s="844"/>
      <c r="E115" s="844"/>
      <c r="F115" s="844"/>
      <c r="G115" s="844"/>
      <c r="H115" s="844"/>
      <c r="I115" s="843"/>
      <c r="J115" s="845" t="s">
        <v>735</v>
      </c>
      <c r="K115" s="846"/>
      <c r="L115" s="846"/>
      <c r="M115" s="847"/>
      <c r="N115" s="845" t="s">
        <v>735</v>
      </c>
      <c r="O115" s="847"/>
      <c r="P115" s="458" t="s">
        <v>735</v>
      </c>
    </row>
    <row r="116" spans="1:17" ht="16.5" customHeight="1">
      <c r="A116" s="814"/>
      <c r="B116" s="814"/>
      <c r="C116" s="814"/>
      <c r="D116" s="814"/>
      <c r="E116" s="814"/>
      <c r="F116" s="814"/>
      <c r="G116" s="814"/>
      <c r="H116" s="814"/>
      <c r="I116" s="814"/>
      <c r="J116" s="814"/>
      <c r="K116" s="814"/>
      <c r="L116" s="814"/>
      <c r="M116" s="814"/>
      <c r="N116" s="814"/>
      <c r="O116" s="814"/>
      <c r="P116" s="814"/>
      <c r="Q116" s="451"/>
    </row>
    <row r="117" spans="1:17" ht="8.25" customHeight="1">
      <c r="A117" s="822" t="s">
        <v>766</v>
      </c>
      <c r="B117" s="822"/>
      <c r="C117" s="822"/>
      <c r="D117" s="822"/>
      <c r="E117" s="822"/>
      <c r="F117" s="822"/>
      <c r="G117" s="822"/>
      <c r="H117" s="822"/>
      <c r="I117" s="822"/>
      <c r="J117" s="822"/>
      <c r="K117" s="822"/>
      <c r="L117" s="822"/>
      <c r="M117" s="822"/>
      <c r="N117" s="822"/>
      <c r="O117" s="822"/>
      <c r="P117" s="822"/>
      <c r="Q117" s="822"/>
    </row>
    <row r="118" spans="1:17" ht="3" customHeight="1">
      <c r="A118" s="455"/>
      <c r="B118" s="455"/>
      <c r="C118" s="455"/>
      <c r="D118" s="455"/>
      <c r="E118" s="455"/>
      <c r="F118" s="455"/>
      <c r="G118" s="455"/>
      <c r="H118" s="455"/>
      <c r="I118" s="455"/>
      <c r="J118" s="455"/>
      <c r="K118" s="455"/>
      <c r="L118" s="455"/>
      <c r="M118" s="455"/>
      <c r="N118" s="455"/>
      <c r="O118" s="455"/>
      <c r="P118" s="455"/>
      <c r="Q118" s="453"/>
    </row>
    <row r="119" spans="1:16" ht="8.25" customHeight="1">
      <c r="A119" s="833" t="s">
        <v>584</v>
      </c>
      <c r="B119" s="834"/>
      <c r="C119" s="834"/>
      <c r="D119" s="834"/>
      <c r="E119" s="834"/>
      <c r="F119" s="834"/>
      <c r="G119" s="834"/>
      <c r="H119" s="834"/>
      <c r="I119" s="833"/>
      <c r="J119" s="848" t="s">
        <v>711</v>
      </c>
      <c r="K119" s="822"/>
      <c r="L119" s="822"/>
      <c r="M119" s="821"/>
      <c r="N119" s="848" t="s">
        <v>712</v>
      </c>
      <c r="O119" s="821"/>
      <c r="P119" s="452" t="s">
        <v>713</v>
      </c>
    </row>
    <row r="120" spans="1:16" ht="8.25" customHeight="1">
      <c r="A120" s="455"/>
      <c r="B120" s="863" t="s">
        <v>191</v>
      </c>
      <c r="C120" s="864"/>
      <c r="D120" s="864"/>
      <c r="E120" s="864"/>
      <c r="F120" s="864"/>
      <c r="G120" s="864"/>
      <c r="H120" s="864"/>
      <c r="I120" s="863"/>
      <c r="J120" s="865">
        <v>0</v>
      </c>
      <c r="K120" s="866"/>
      <c r="L120" s="866"/>
      <c r="M120" s="867"/>
      <c r="N120" s="865">
        <v>0</v>
      </c>
      <c r="O120" s="867"/>
      <c r="P120" s="461">
        <v>0</v>
      </c>
    </row>
    <row r="121" spans="1:16" ht="8.25" customHeight="1">
      <c r="A121" s="833" t="s">
        <v>585</v>
      </c>
      <c r="B121" s="834"/>
      <c r="C121" s="834"/>
      <c r="D121" s="834"/>
      <c r="E121" s="834"/>
      <c r="F121" s="834"/>
      <c r="G121" s="834"/>
      <c r="H121" s="834"/>
      <c r="I121" s="833"/>
      <c r="J121" s="835">
        <v>0</v>
      </c>
      <c r="K121" s="836"/>
      <c r="L121" s="836"/>
      <c r="M121" s="837"/>
      <c r="N121" s="835">
        <v>0</v>
      </c>
      <c r="O121" s="837"/>
      <c r="P121" s="454">
        <v>0</v>
      </c>
    </row>
    <row r="122" spans="1:16" ht="3" customHeight="1">
      <c r="A122" s="453"/>
      <c r="B122" s="453"/>
      <c r="C122" s="453"/>
      <c r="D122" s="453"/>
      <c r="E122" s="453"/>
      <c r="F122" s="453"/>
      <c r="G122" s="453"/>
      <c r="H122" s="453"/>
      <c r="I122" s="453"/>
      <c r="J122" s="453"/>
      <c r="K122" s="453"/>
      <c r="L122" s="453"/>
      <c r="M122" s="453"/>
      <c r="N122" s="453"/>
      <c r="O122" s="453"/>
      <c r="P122" s="453"/>
    </row>
    <row r="123" spans="1:16" ht="2.25" customHeight="1">
      <c r="A123" s="451"/>
      <c r="B123" s="451"/>
      <c r="C123" s="451"/>
      <c r="D123" s="451"/>
      <c r="E123" s="451"/>
      <c r="F123" s="451"/>
      <c r="G123" s="451"/>
      <c r="H123" s="451"/>
      <c r="I123" s="451"/>
      <c r="J123" s="451"/>
      <c r="K123" s="451"/>
      <c r="L123" s="451"/>
      <c r="M123" s="451"/>
      <c r="N123" s="451"/>
      <c r="O123" s="451"/>
      <c r="P123" s="451"/>
    </row>
    <row r="124" spans="1:16" ht="8.25" customHeight="1">
      <c r="A124" s="833" t="s">
        <v>586</v>
      </c>
      <c r="B124" s="834"/>
      <c r="C124" s="834"/>
      <c r="D124" s="834"/>
      <c r="E124" s="834"/>
      <c r="F124" s="834"/>
      <c r="G124" s="834"/>
      <c r="H124" s="834"/>
      <c r="I124" s="833"/>
      <c r="J124" s="848" t="s">
        <v>711</v>
      </c>
      <c r="K124" s="822"/>
      <c r="L124" s="822"/>
      <c r="M124" s="821"/>
      <c r="N124" s="848" t="s">
        <v>712</v>
      </c>
      <c r="O124" s="821"/>
      <c r="P124" s="452" t="s">
        <v>713</v>
      </c>
    </row>
    <row r="125" spans="1:16" ht="8.25" customHeight="1">
      <c r="A125" s="453"/>
      <c r="B125" s="849" t="s">
        <v>767</v>
      </c>
      <c r="C125" s="850"/>
      <c r="D125" s="850"/>
      <c r="E125" s="850"/>
      <c r="F125" s="850"/>
      <c r="G125" s="850"/>
      <c r="H125" s="850"/>
      <c r="I125" s="849"/>
      <c r="J125" s="851" t="s">
        <v>735</v>
      </c>
      <c r="K125" s="852"/>
      <c r="L125" s="852"/>
      <c r="M125" s="853"/>
      <c r="N125" s="851" t="s">
        <v>735</v>
      </c>
      <c r="O125" s="853"/>
      <c r="P125" s="456" t="s">
        <v>735</v>
      </c>
    </row>
    <row r="126" spans="3:16" ht="8.25" customHeight="1">
      <c r="C126" s="838" t="s">
        <v>768</v>
      </c>
      <c r="D126" s="839"/>
      <c r="E126" s="839"/>
      <c r="F126" s="839"/>
      <c r="G126" s="839"/>
      <c r="H126" s="839"/>
      <c r="I126" s="838"/>
      <c r="J126" s="840" t="s">
        <v>735</v>
      </c>
      <c r="K126" s="841"/>
      <c r="L126" s="841"/>
      <c r="M126" s="842"/>
      <c r="N126" s="840" t="s">
        <v>735</v>
      </c>
      <c r="O126" s="842"/>
      <c r="P126" s="457" t="s">
        <v>735</v>
      </c>
    </row>
    <row r="127" spans="3:16" ht="8.25" customHeight="1">
      <c r="C127" s="838" t="s">
        <v>769</v>
      </c>
      <c r="D127" s="839"/>
      <c r="E127" s="839"/>
      <c r="F127" s="839"/>
      <c r="G127" s="839"/>
      <c r="H127" s="839"/>
      <c r="I127" s="838"/>
      <c r="J127" s="840" t="s">
        <v>735</v>
      </c>
      <c r="K127" s="841"/>
      <c r="L127" s="841"/>
      <c r="M127" s="842"/>
      <c r="N127" s="840" t="s">
        <v>735</v>
      </c>
      <c r="O127" s="842"/>
      <c r="P127" s="457" t="s">
        <v>735</v>
      </c>
    </row>
    <row r="128" spans="1:16" ht="8.25" customHeight="1">
      <c r="A128" s="451"/>
      <c r="B128" s="843" t="s">
        <v>770</v>
      </c>
      <c r="C128" s="844"/>
      <c r="D128" s="844"/>
      <c r="E128" s="844"/>
      <c r="F128" s="844"/>
      <c r="G128" s="844"/>
      <c r="H128" s="844"/>
      <c r="I128" s="843"/>
      <c r="J128" s="845" t="s">
        <v>735</v>
      </c>
      <c r="K128" s="846"/>
      <c r="L128" s="846"/>
      <c r="M128" s="847"/>
      <c r="N128" s="845" t="s">
        <v>735</v>
      </c>
      <c r="O128" s="847"/>
      <c r="P128" s="458" t="s">
        <v>735</v>
      </c>
    </row>
    <row r="129" spans="1:16" ht="7.5" customHeight="1">
      <c r="A129" s="833" t="s">
        <v>587</v>
      </c>
      <c r="B129" s="834"/>
      <c r="C129" s="834"/>
      <c r="D129" s="834"/>
      <c r="E129" s="834"/>
      <c r="F129" s="834"/>
      <c r="G129" s="834"/>
      <c r="H129" s="834"/>
      <c r="I129" s="833"/>
      <c r="J129" s="835">
        <v>0</v>
      </c>
      <c r="K129" s="836"/>
      <c r="L129" s="836"/>
      <c r="M129" s="837"/>
      <c r="N129" s="835">
        <v>0</v>
      </c>
      <c r="O129" s="837"/>
      <c r="P129" s="454">
        <v>0</v>
      </c>
    </row>
    <row r="130" spans="1:16" ht="3" customHeight="1">
      <c r="A130" s="455"/>
      <c r="B130" s="455"/>
      <c r="C130" s="455"/>
      <c r="D130" s="455"/>
      <c r="E130" s="455"/>
      <c r="F130" s="455"/>
      <c r="G130" s="455"/>
      <c r="H130" s="455"/>
      <c r="I130" s="455"/>
      <c r="J130" s="455"/>
      <c r="K130" s="455"/>
      <c r="L130" s="455"/>
      <c r="M130" s="455"/>
      <c r="N130" s="455"/>
      <c r="O130" s="455"/>
      <c r="P130" s="455"/>
    </row>
    <row r="131" spans="1:16" ht="8.25" customHeight="1">
      <c r="A131" s="833" t="s">
        <v>771</v>
      </c>
      <c r="B131" s="834"/>
      <c r="C131" s="834"/>
      <c r="D131" s="834"/>
      <c r="E131" s="834"/>
      <c r="F131" s="834"/>
      <c r="G131" s="834"/>
      <c r="H131" s="834"/>
      <c r="I131" s="833"/>
      <c r="J131" s="835">
        <v>0</v>
      </c>
      <c r="K131" s="836"/>
      <c r="L131" s="836"/>
      <c r="M131" s="837"/>
      <c r="N131" s="835">
        <v>0</v>
      </c>
      <c r="O131" s="837"/>
      <c r="P131" s="454">
        <v>0</v>
      </c>
    </row>
    <row r="132" spans="1:16" ht="3" customHeight="1">
      <c r="A132" s="455"/>
      <c r="B132" s="455"/>
      <c r="C132" s="455"/>
      <c r="D132" s="455"/>
      <c r="E132" s="455"/>
      <c r="F132" s="455"/>
      <c r="G132" s="455"/>
      <c r="H132" s="455"/>
      <c r="I132" s="455"/>
      <c r="J132" s="455"/>
      <c r="K132" s="455"/>
      <c r="L132" s="455"/>
      <c r="M132" s="455"/>
      <c r="N132" s="455"/>
      <c r="O132" s="455"/>
      <c r="P132" s="455"/>
    </row>
    <row r="133" spans="1:16" ht="3" customHeight="1">
      <c r="A133" s="814"/>
      <c r="B133" s="814"/>
      <c r="C133" s="814"/>
      <c r="D133" s="814"/>
      <c r="E133" s="814"/>
      <c r="F133" s="814"/>
      <c r="G133" s="814"/>
      <c r="H133" s="814"/>
      <c r="I133" s="814"/>
      <c r="J133" s="814"/>
      <c r="K133" s="814"/>
      <c r="L133" s="814"/>
      <c r="M133" s="814"/>
      <c r="N133" s="814"/>
      <c r="O133" s="814"/>
      <c r="P133" s="814"/>
    </row>
    <row r="134" spans="1:16" ht="8.25" customHeight="1">
      <c r="A134" s="833" t="s">
        <v>772</v>
      </c>
      <c r="B134" s="834"/>
      <c r="C134" s="834"/>
      <c r="D134" s="834"/>
      <c r="E134" s="834"/>
      <c r="F134" s="834"/>
      <c r="G134" s="834"/>
      <c r="H134" s="834"/>
      <c r="I134" s="833"/>
      <c r="J134" s="848" t="s">
        <v>711</v>
      </c>
      <c r="K134" s="822"/>
      <c r="L134" s="822"/>
      <c r="M134" s="821"/>
      <c r="N134" s="848" t="s">
        <v>712</v>
      </c>
      <c r="O134" s="821"/>
      <c r="P134" s="452" t="s">
        <v>713</v>
      </c>
    </row>
    <row r="135" spans="1:16" ht="8.25" customHeight="1">
      <c r="A135" s="453"/>
      <c r="B135" s="849" t="s">
        <v>389</v>
      </c>
      <c r="C135" s="850"/>
      <c r="D135" s="850"/>
      <c r="E135" s="850"/>
      <c r="F135" s="850"/>
      <c r="G135" s="850"/>
      <c r="H135" s="850"/>
      <c r="I135" s="849"/>
      <c r="J135" s="854">
        <v>0</v>
      </c>
      <c r="K135" s="859"/>
      <c r="L135" s="859"/>
      <c r="M135" s="855"/>
      <c r="N135" s="854">
        <v>0</v>
      </c>
      <c r="O135" s="855"/>
      <c r="P135" s="445">
        <v>0</v>
      </c>
    </row>
    <row r="136" spans="2:16" ht="7.5" customHeight="1">
      <c r="B136" s="838" t="s">
        <v>390</v>
      </c>
      <c r="C136" s="839"/>
      <c r="D136" s="839"/>
      <c r="E136" s="839"/>
      <c r="F136" s="839"/>
      <c r="G136" s="839"/>
      <c r="H136" s="839"/>
      <c r="I136" s="838"/>
      <c r="J136" s="860">
        <v>0</v>
      </c>
      <c r="K136" s="861"/>
      <c r="L136" s="861"/>
      <c r="M136" s="862"/>
      <c r="N136" s="860">
        <v>0</v>
      </c>
      <c r="O136" s="862"/>
      <c r="P136" s="446">
        <v>0</v>
      </c>
    </row>
    <row r="137" spans="1:16" ht="8.25" customHeight="1">
      <c r="A137" s="451"/>
      <c r="B137" s="843" t="s">
        <v>755</v>
      </c>
      <c r="C137" s="844"/>
      <c r="D137" s="844"/>
      <c r="E137" s="844"/>
      <c r="F137" s="844"/>
      <c r="G137" s="844"/>
      <c r="H137" s="844"/>
      <c r="I137" s="843"/>
      <c r="J137" s="856">
        <v>0</v>
      </c>
      <c r="K137" s="857"/>
      <c r="L137" s="857"/>
      <c r="M137" s="858"/>
      <c r="N137" s="856">
        <v>0</v>
      </c>
      <c r="O137" s="858"/>
      <c r="P137" s="447">
        <v>0</v>
      </c>
    </row>
    <row r="138" spans="1:17" ht="17.25" customHeight="1">
      <c r="A138" s="814"/>
      <c r="B138" s="814"/>
      <c r="C138" s="814"/>
      <c r="D138" s="814"/>
      <c r="E138" s="814"/>
      <c r="F138" s="814"/>
      <c r="G138" s="814"/>
      <c r="H138" s="814"/>
      <c r="I138" s="814"/>
      <c r="J138" s="814"/>
      <c r="K138" s="814"/>
      <c r="L138" s="814"/>
      <c r="M138" s="814"/>
      <c r="N138" s="814"/>
      <c r="O138" s="814"/>
      <c r="P138" s="814"/>
      <c r="Q138" s="451"/>
    </row>
    <row r="139" spans="1:17" ht="8.25" customHeight="1">
      <c r="A139" s="822" t="s">
        <v>773</v>
      </c>
      <c r="B139" s="822"/>
      <c r="C139" s="822"/>
      <c r="D139" s="822"/>
      <c r="E139" s="822"/>
      <c r="F139" s="822"/>
      <c r="G139" s="822"/>
      <c r="H139" s="822"/>
      <c r="I139" s="822"/>
      <c r="J139" s="822"/>
      <c r="K139" s="822"/>
      <c r="L139" s="822"/>
      <c r="M139" s="822"/>
      <c r="N139" s="822"/>
      <c r="O139" s="822"/>
      <c r="P139" s="822"/>
      <c r="Q139" s="822"/>
    </row>
    <row r="140" spans="1:17" ht="3" customHeight="1">
      <c r="A140" s="455"/>
      <c r="B140" s="455"/>
      <c r="C140" s="455"/>
      <c r="D140" s="455"/>
      <c r="E140" s="455"/>
      <c r="F140" s="455"/>
      <c r="G140" s="455"/>
      <c r="H140" s="455"/>
      <c r="I140" s="455"/>
      <c r="J140" s="455"/>
      <c r="K140" s="455"/>
      <c r="L140" s="455"/>
      <c r="M140" s="455"/>
      <c r="N140" s="455"/>
      <c r="O140" s="455"/>
      <c r="P140" s="455"/>
      <c r="Q140" s="453"/>
    </row>
    <row r="141" spans="1:16" ht="7.5" customHeight="1">
      <c r="A141" s="833" t="s">
        <v>774</v>
      </c>
      <c r="B141" s="834"/>
      <c r="C141" s="834"/>
      <c r="D141" s="834"/>
      <c r="E141" s="834"/>
      <c r="F141" s="834"/>
      <c r="G141" s="834"/>
      <c r="H141" s="834"/>
      <c r="I141" s="833"/>
      <c r="J141" s="848" t="s">
        <v>711</v>
      </c>
      <c r="K141" s="822"/>
      <c r="L141" s="822"/>
      <c r="M141" s="821"/>
      <c r="N141" s="848" t="s">
        <v>712</v>
      </c>
      <c r="O141" s="821"/>
      <c r="P141" s="452" t="s">
        <v>713</v>
      </c>
    </row>
    <row r="142" spans="1:16" ht="8.25" customHeight="1">
      <c r="A142" s="453"/>
      <c r="B142" s="849" t="s">
        <v>775</v>
      </c>
      <c r="C142" s="850"/>
      <c r="D142" s="850"/>
      <c r="E142" s="850"/>
      <c r="F142" s="850"/>
      <c r="G142" s="850"/>
      <c r="H142" s="850"/>
      <c r="I142" s="849"/>
      <c r="J142" s="854">
        <v>0</v>
      </c>
      <c r="K142" s="859"/>
      <c r="L142" s="859"/>
      <c r="M142" s="855"/>
      <c r="N142" s="854">
        <v>0</v>
      </c>
      <c r="O142" s="855"/>
      <c r="P142" s="445">
        <v>0</v>
      </c>
    </row>
    <row r="143" spans="1:16" ht="8.25" customHeight="1">
      <c r="A143" s="451"/>
      <c r="B143" s="843" t="s">
        <v>776</v>
      </c>
      <c r="C143" s="844"/>
      <c r="D143" s="844"/>
      <c r="E143" s="844"/>
      <c r="F143" s="844"/>
      <c r="G143" s="844"/>
      <c r="H143" s="844"/>
      <c r="I143" s="843"/>
      <c r="J143" s="856">
        <v>0</v>
      </c>
      <c r="K143" s="857"/>
      <c r="L143" s="857"/>
      <c r="M143" s="858"/>
      <c r="N143" s="856">
        <v>0</v>
      </c>
      <c r="O143" s="858"/>
      <c r="P143" s="447">
        <v>0</v>
      </c>
    </row>
    <row r="144" spans="1:16" ht="8.25" customHeight="1">
      <c r="A144" s="833" t="s">
        <v>777</v>
      </c>
      <c r="B144" s="834"/>
      <c r="C144" s="834"/>
      <c r="D144" s="834"/>
      <c r="E144" s="834"/>
      <c r="F144" s="834"/>
      <c r="G144" s="834"/>
      <c r="H144" s="834"/>
      <c r="I144" s="833"/>
      <c r="J144" s="835">
        <v>0</v>
      </c>
      <c r="K144" s="836"/>
      <c r="L144" s="836"/>
      <c r="M144" s="837"/>
      <c r="N144" s="835">
        <v>0</v>
      </c>
      <c r="O144" s="837"/>
      <c r="P144" s="454">
        <v>0</v>
      </c>
    </row>
    <row r="145" spans="1:16" ht="3" customHeight="1">
      <c r="A145" s="453"/>
      <c r="B145" s="453"/>
      <c r="C145" s="453"/>
      <c r="D145" s="453"/>
      <c r="E145" s="453"/>
      <c r="F145" s="453"/>
      <c r="G145" s="453"/>
      <c r="H145" s="453"/>
      <c r="I145" s="453"/>
      <c r="J145" s="453"/>
      <c r="K145" s="453"/>
      <c r="L145" s="453"/>
      <c r="M145" s="453"/>
      <c r="N145" s="453"/>
      <c r="O145" s="453"/>
      <c r="P145" s="453"/>
    </row>
    <row r="146" spans="1:16" ht="3" customHeight="1">
      <c r="A146" s="451"/>
      <c r="B146" s="451"/>
      <c r="C146" s="451"/>
      <c r="D146" s="451"/>
      <c r="E146" s="451"/>
      <c r="F146" s="451"/>
      <c r="G146" s="451"/>
      <c r="H146" s="451"/>
      <c r="I146" s="451"/>
      <c r="J146" s="451"/>
      <c r="K146" s="451"/>
      <c r="L146" s="451"/>
      <c r="M146" s="451"/>
      <c r="N146" s="451"/>
      <c r="O146" s="451"/>
      <c r="P146" s="451"/>
    </row>
    <row r="147" spans="1:16" ht="8.25" customHeight="1">
      <c r="A147" s="833" t="s">
        <v>778</v>
      </c>
      <c r="B147" s="834"/>
      <c r="C147" s="834"/>
      <c r="D147" s="834"/>
      <c r="E147" s="834"/>
      <c r="F147" s="834"/>
      <c r="G147" s="834"/>
      <c r="H147" s="834"/>
      <c r="I147" s="833"/>
      <c r="J147" s="848" t="s">
        <v>711</v>
      </c>
      <c r="K147" s="822"/>
      <c r="L147" s="822"/>
      <c r="M147" s="821"/>
      <c r="N147" s="848" t="s">
        <v>712</v>
      </c>
      <c r="O147" s="821"/>
      <c r="P147" s="452" t="s">
        <v>713</v>
      </c>
    </row>
    <row r="148" spans="1:16" ht="7.5" customHeight="1">
      <c r="A148" s="453"/>
      <c r="B148" s="849" t="s">
        <v>379</v>
      </c>
      <c r="C148" s="850"/>
      <c r="D148" s="850"/>
      <c r="E148" s="850"/>
      <c r="F148" s="850"/>
      <c r="G148" s="850"/>
      <c r="H148" s="850"/>
      <c r="I148" s="849"/>
      <c r="J148" s="851" t="s">
        <v>735</v>
      </c>
      <c r="K148" s="852"/>
      <c r="L148" s="852"/>
      <c r="M148" s="853"/>
      <c r="N148" s="851" t="s">
        <v>735</v>
      </c>
      <c r="O148" s="853"/>
      <c r="P148" s="456" t="s">
        <v>735</v>
      </c>
    </row>
    <row r="149" spans="2:16" ht="8.25" customHeight="1">
      <c r="B149" s="838" t="s">
        <v>380</v>
      </c>
      <c r="C149" s="839"/>
      <c r="D149" s="839"/>
      <c r="E149" s="839"/>
      <c r="F149" s="839"/>
      <c r="G149" s="839"/>
      <c r="H149" s="839"/>
      <c r="I149" s="838"/>
      <c r="J149" s="840" t="s">
        <v>735</v>
      </c>
      <c r="K149" s="841"/>
      <c r="L149" s="841"/>
      <c r="M149" s="842"/>
      <c r="N149" s="840" t="s">
        <v>735</v>
      </c>
      <c r="O149" s="842"/>
      <c r="P149" s="457" t="s">
        <v>735</v>
      </c>
    </row>
    <row r="150" spans="1:16" ht="8.25" customHeight="1">
      <c r="A150" s="451"/>
      <c r="B150" s="843" t="s">
        <v>381</v>
      </c>
      <c r="C150" s="844"/>
      <c r="D150" s="844"/>
      <c r="E150" s="844"/>
      <c r="F150" s="844"/>
      <c r="G150" s="844"/>
      <c r="H150" s="844"/>
      <c r="I150" s="843"/>
      <c r="J150" s="845" t="s">
        <v>735</v>
      </c>
      <c r="K150" s="846"/>
      <c r="L150" s="846"/>
      <c r="M150" s="847"/>
      <c r="N150" s="845" t="s">
        <v>735</v>
      </c>
      <c r="O150" s="847"/>
      <c r="P150" s="458" t="s">
        <v>735</v>
      </c>
    </row>
    <row r="151" spans="1:16" ht="8.25" customHeight="1">
      <c r="A151" s="833" t="s">
        <v>779</v>
      </c>
      <c r="B151" s="834"/>
      <c r="C151" s="834"/>
      <c r="D151" s="834"/>
      <c r="E151" s="834"/>
      <c r="F151" s="834"/>
      <c r="G151" s="834"/>
      <c r="H151" s="834"/>
      <c r="I151" s="833"/>
      <c r="J151" s="835">
        <v>0</v>
      </c>
      <c r="K151" s="836"/>
      <c r="L151" s="836"/>
      <c r="M151" s="837"/>
      <c r="N151" s="835">
        <v>0</v>
      </c>
      <c r="O151" s="837"/>
      <c r="P151" s="454">
        <v>0</v>
      </c>
    </row>
    <row r="152" spans="1:16" ht="3" customHeight="1">
      <c r="A152" s="455"/>
      <c r="B152" s="455"/>
      <c r="C152" s="455"/>
      <c r="D152" s="455"/>
      <c r="E152" s="455"/>
      <c r="F152" s="455"/>
      <c r="G152" s="455"/>
      <c r="H152" s="455"/>
      <c r="I152" s="455"/>
      <c r="J152" s="455"/>
      <c r="K152" s="455"/>
      <c r="L152" s="455"/>
      <c r="M152" s="455"/>
      <c r="N152" s="455"/>
      <c r="O152" s="455"/>
      <c r="P152" s="455"/>
    </row>
    <row r="153" spans="1:16" ht="8.25" customHeight="1">
      <c r="A153" s="833" t="s">
        <v>780</v>
      </c>
      <c r="B153" s="834"/>
      <c r="C153" s="834"/>
      <c r="D153" s="834"/>
      <c r="E153" s="834"/>
      <c r="F153" s="834"/>
      <c r="G153" s="834"/>
      <c r="H153" s="834"/>
      <c r="I153" s="833"/>
      <c r="J153" s="835">
        <v>0</v>
      </c>
      <c r="K153" s="836"/>
      <c r="L153" s="836"/>
      <c r="M153" s="837"/>
      <c r="N153" s="835">
        <v>0</v>
      </c>
      <c r="O153" s="837"/>
      <c r="P153" s="454">
        <v>0</v>
      </c>
    </row>
    <row r="154" spans="1:16" ht="2.25" customHeight="1">
      <c r="A154" s="453"/>
      <c r="B154" s="453"/>
      <c r="C154" s="453"/>
      <c r="D154" s="453"/>
      <c r="E154" s="453"/>
      <c r="F154" s="453"/>
      <c r="G154" s="453"/>
      <c r="H154" s="453"/>
      <c r="I154" s="453"/>
      <c r="J154" s="453"/>
      <c r="K154" s="453"/>
      <c r="L154" s="453"/>
      <c r="M154" s="453"/>
      <c r="N154" s="453"/>
      <c r="O154" s="453"/>
      <c r="P154" s="453"/>
    </row>
    <row r="159" spans="1:16" ht="8.25" customHeight="1">
      <c r="A159" s="869" t="s">
        <v>756</v>
      </c>
      <c r="B159" s="869"/>
      <c r="C159" s="869"/>
      <c r="D159" s="869"/>
      <c r="E159" s="869"/>
      <c r="F159" s="869"/>
      <c r="G159" s="869"/>
      <c r="H159" s="869"/>
      <c r="I159" s="869"/>
      <c r="J159" s="869"/>
      <c r="K159" s="869"/>
      <c r="L159" s="869"/>
      <c r="M159" s="869"/>
      <c r="N159" s="869"/>
      <c r="O159" s="869"/>
      <c r="P159" s="869"/>
    </row>
    <row r="160" spans="1:16" ht="3" customHeight="1">
      <c r="A160" s="451"/>
      <c r="B160" s="451"/>
      <c r="C160" s="451"/>
      <c r="D160" s="451"/>
      <c r="E160" s="451"/>
      <c r="F160" s="451"/>
      <c r="G160" s="451"/>
      <c r="H160" s="451"/>
      <c r="I160" s="451"/>
      <c r="J160" s="451"/>
      <c r="K160" s="451"/>
      <c r="L160" s="451"/>
      <c r="M160" s="451"/>
      <c r="N160" s="451"/>
      <c r="O160" s="451"/>
      <c r="P160" s="451"/>
    </row>
    <row r="161" spans="1:16" ht="17.25" customHeight="1">
      <c r="A161" s="824" t="s">
        <v>781</v>
      </c>
      <c r="B161" s="824"/>
      <c r="C161" s="824"/>
      <c r="D161" s="824"/>
      <c r="E161" s="824"/>
      <c r="F161" s="824"/>
      <c r="G161" s="824"/>
      <c r="H161" s="824"/>
      <c r="I161" s="824"/>
      <c r="J161" s="824"/>
      <c r="K161" s="824"/>
      <c r="L161" s="824"/>
      <c r="M161" s="824"/>
      <c r="N161" s="824"/>
      <c r="O161" s="824"/>
      <c r="P161" s="824"/>
    </row>
    <row r="162" spans="1:16" ht="2.25" customHeight="1">
      <c r="A162" s="455"/>
      <c r="B162" s="455"/>
      <c r="C162" s="455"/>
      <c r="D162" s="455"/>
      <c r="E162" s="455"/>
      <c r="F162" s="455"/>
      <c r="G162" s="455"/>
      <c r="H162" s="455"/>
      <c r="I162" s="455"/>
      <c r="J162" s="455"/>
      <c r="K162" s="455"/>
      <c r="L162" s="455"/>
      <c r="M162" s="455"/>
      <c r="N162" s="455"/>
      <c r="O162" s="455"/>
      <c r="P162" s="455"/>
    </row>
    <row r="163" spans="1:16" ht="3" customHeight="1">
      <c r="A163" s="814"/>
      <c r="B163" s="814"/>
      <c r="C163" s="814"/>
      <c r="D163" s="814"/>
      <c r="E163" s="814"/>
      <c r="F163" s="814"/>
      <c r="G163" s="814"/>
      <c r="H163" s="814"/>
      <c r="I163" s="814"/>
      <c r="J163" s="814"/>
      <c r="K163" s="814"/>
      <c r="L163" s="814"/>
      <c r="M163" s="814"/>
      <c r="N163" s="814"/>
      <c r="O163" s="814"/>
      <c r="P163" s="814"/>
    </row>
    <row r="164" spans="1:16" ht="23.25" customHeight="1">
      <c r="A164" s="821" t="s">
        <v>98</v>
      </c>
      <c r="B164" s="822"/>
      <c r="C164" s="822"/>
      <c r="D164" s="821"/>
      <c r="E164" s="462" t="s">
        <v>782</v>
      </c>
      <c r="F164" s="823" t="s">
        <v>783</v>
      </c>
      <c r="G164" s="824"/>
      <c r="H164" s="825"/>
      <c r="I164" s="823" t="s">
        <v>784</v>
      </c>
      <c r="J164" s="824"/>
      <c r="K164" s="824"/>
      <c r="L164" s="824"/>
      <c r="M164" s="824"/>
      <c r="N164" s="825"/>
      <c r="O164" s="826" t="s">
        <v>785</v>
      </c>
      <c r="P164" s="824"/>
    </row>
    <row r="165" spans="1:16" ht="8.25" customHeight="1">
      <c r="A165" s="827" t="s">
        <v>786</v>
      </c>
      <c r="B165" s="828"/>
      <c r="C165" s="828"/>
      <c r="D165" s="827"/>
      <c r="E165" s="463">
        <v>0</v>
      </c>
      <c r="F165" s="829">
        <v>0</v>
      </c>
      <c r="G165" s="830"/>
      <c r="H165" s="831"/>
      <c r="I165" s="829">
        <v>0</v>
      </c>
      <c r="J165" s="830"/>
      <c r="K165" s="830"/>
      <c r="L165" s="830"/>
      <c r="M165" s="830"/>
      <c r="N165" s="831"/>
      <c r="O165" s="832" t="s">
        <v>787</v>
      </c>
      <c r="P165" s="830"/>
    </row>
    <row r="166" spans="1:16" ht="8.25" customHeight="1">
      <c r="A166" s="815" t="s">
        <v>705</v>
      </c>
      <c r="B166" s="816"/>
      <c r="C166" s="816"/>
      <c r="D166" s="815"/>
      <c r="E166" s="464" t="s">
        <v>788</v>
      </c>
      <c r="F166" s="817" t="s">
        <v>789</v>
      </c>
      <c r="G166" s="818"/>
      <c r="H166" s="819"/>
      <c r="I166" s="817" t="s">
        <v>790</v>
      </c>
      <c r="J166" s="818"/>
      <c r="K166" s="818"/>
      <c r="L166" s="818"/>
      <c r="M166" s="818"/>
      <c r="N166" s="819"/>
      <c r="O166" s="820" t="s">
        <v>791</v>
      </c>
      <c r="P166" s="818"/>
    </row>
    <row r="167" spans="1:16" ht="7.5" customHeight="1">
      <c r="A167" s="815" t="s">
        <v>792</v>
      </c>
      <c r="B167" s="816"/>
      <c r="C167" s="816"/>
      <c r="D167" s="815"/>
      <c r="E167" s="464" t="s">
        <v>793</v>
      </c>
      <c r="F167" s="817" t="s">
        <v>794</v>
      </c>
      <c r="G167" s="818"/>
      <c r="H167" s="819"/>
      <c r="I167" s="817" t="s">
        <v>795</v>
      </c>
      <c r="J167" s="818"/>
      <c r="K167" s="818"/>
      <c r="L167" s="818"/>
      <c r="M167" s="818"/>
      <c r="N167" s="819"/>
      <c r="O167" s="820" t="s">
        <v>796</v>
      </c>
      <c r="P167" s="818"/>
    </row>
    <row r="168" spans="1:16" ht="8.25" customHeight="1">
      <c r="A168" s="815" t="s">
        <v>797</v>
      </c>
      <c r="B168" s="816"/>
      <c r="C168" s="816"/>
      <c r="D168" s="815"/>
      <c r="E168" s="464" t="s">
        <v>798</v>
      </c>
      <c r="F168" s="817" t="s">
        <v>799</v>
      </c>
      <c r="G168" s="818"/>
      <c r="H168" s="819"/>
      <c r="I168" s="817" t="s">
        <v>800</v>
      </c>
      <c r="J168" s="818"/>
      <c r="K168" s="818"/>
      <c r="L168" s="818"/>
      <c r="M168" s="818"/>
      <c r="N168" s="819"/>
      <c r="O168" s="820" t="s">
        <v>801</v>
      </c>
      <c r="P168" s="818"/>
    </row>
    <row r="169" spans="1:16" ht="8.25" customHeight="1">
      <c r="A169" s="815" t="s">
        <v>802</v>
      </c>
      <c r="B169" s="816"/>
      <c r="C169" s="816"/>
      <c r="D169" s="815"/>
      <c r="E169" s="464" t="s">
        <v>803</v>
      </c>
      <c r="F169" s="817" t="s">
        <v>804</v>
      </c>
      <c r="G169" s="818"/>
      <c r="H169" s="819"/>
      <c r="I169" s="817" t="s">
        <v>805</v>
      </c>
      <c r="J169" s="818"/>
      <c r="K169" s="818"/>
      <c r="L169" s="818"/>
      <c r="M169" s="818"/>
      <c r="N169" s="819"/>
      <c r="O169" s="820" t="s">
        <v>806</v>
      </c>
      <c r="P169" s="818"/>
    </row>
    <row r="170" spans="1:16" ht="8.25" customHeight="1">
      <c r="A170" s="815" t="s">
        <v>807</v>
      </c>
      <c r="B170" s="816"/>
      <c r="C170" s="816"/>
      <c r="D170" s="815"/>
      <c r="E170" s="464" t="s">
        <v>808</v>
      </c>
      <c r="F170" s="817" t="s">
        <v>809</v>
      </c>
      <c r="G170" s="818"/>
      <c r="H170" s="819"/>
      <c r="I170" s="817" t="s">
        <v>810</v>
      </c>
      <c r="J170" s="818"/>
      <c r="K170" s="818"/>
      <c r="L170" s="818"/>
      <c r="M170" s="818"/>
      <c r="N170" s="819"/>
      <c r="O170" s="820" t="s">
        <v>811</v>
      </c>
      <c r="P170" s="818"/>
    </row>
    <row r="171" spans="1:16" ht="8.25" customHeight="1">
      <c r="A171" s="815" t="s">
        <v>812</v>
      </c>
      <c r="B171" s="816"/>
      <c r="C171" s="816"/>
      <c r="D171" s="815"/>
      <c r="E171" s="464" t="s">
        <v>813</v>
      </c>
      <c r="F171" s="817" t="s">
        <v>814</v>
      </c>
      <c r="G171" s="818"/>
      <c r="H171" s="819"/>
      <c r="I171" s="817" t="s">
        <v>815</v>
      </c>
      <c r="J171" s="818"/>
      <c r="K171" s="818"/>
      <c r="L171" s="818"/>
      <c r="M171" s="818"/>
      <c r="N171" s="819"/>
      <c r="O171" s="820" t="s">
        <v>816</v>
      </c>
      <c r="P171" s="818"/>
    </row>
    <row r="172" spans="1:16" ht="7.5" customHeight="1">
      <c r="A172" s="815" t="s">
        <v>817</v>
      </c>
      <c r="B172" s="816"/>
      <c r="C172" s="816"/>
      <c r="D172" s="815"/>
      <c r="E172" s="464" t="s">
        <v>818</v>
      </c>
      <c r="F172" s="817" t="s">
        <v>819</v>
      </c>
      <c r="G172" s="818"/>
      <c r="H172" s="819"/>
      <c r="I172" s="817" t="s">
        <v>820</v>
      </c>
      <c r="J172" s="818"/>
      <c r="K172" s="818"/>
      <c r="L172" s="818"/>
      <c r="M172" s="818"/>
      <c r="N172" s="819"/>
      <c r="O172" s="820" t="s">
        <v>821</v>
      </c>
      <c r="P172" s="818"/>
    </row>
    <row r="173" spans="1:16" ht="8.25" customHeight="1">
      <c r="A173" s="815" t="s">
        <v>822</v>
      </c>
      <c r="B173" s="816"/>
      <c r="C173" s="816"/>
      <c r="D173" s="815"/>
      <c r="E173" s="464" t="s">
        <v>823</v>
      </c>
      <c r="F173" s="817" t="s">
        <v>824</v>
      </c>
      <c r="G173" s="818"/>
      <c r="H173" s="819"/>
      <c r="I173" s="817" t="s">
        <v>825</v>
      </c>
      <c r="J173" s="818"/>
      <c r="K173" s="818"/>
      <c r="L173" s="818"/>
      <c r="M173" s="818"/>
      <c r="N173" s="819"/>
      <c r="O173" s="820" t="s">
        <v>826</v>
      </c>
      <c r="P173" s="818"/>
    </row>
    <row r="174" spans="1:16" ht="8.25" customHeight="1">
      <c r="A174" s="815" t="s">
        <v>827</v>
      </c>
      <c r="B174" s="816"/>
      <c r="C174" s="816"/>
      <c r="D174" s="815"/>
      <c r="E174" s="464" t="s">
        <v>828</v>
      </c>
      <c r="F174" s="817" t="s">
        <v>829</v>
      </c>
      <c r="G174" s="818"/>
      <c r="H174" s="819"/>
      <c r="I174" s="817" t="s">
        <v>830</v>
      </c>
      <c r="J174" s="818"/>
      <c r="K174" s="818"/>
      <c r="L174" s="818"/>
      <c r="M174" s="818"/>
      <c r="N174" s="819"/>
      <c r="O174" s="820" t="s">
        <v>831</v>
      </c>
      <c r="P174" s="818"/>
    </row>
    <row r="175" spans="1:16" ht="8.25" customHeight="1">
      <c r="A175" s="815" t="s">
        <v>832</v>
      </c>
      <c r="B175" s="816"/>
      <c r="C175" s="816"/>
      <c r="D175" s="815"/>
      <c r="E175" s="464" t="s">
        <v>833</v>
      </c>
      <c r="F175" s="817" t="s">
        <v>834</v>
      </c>
      <c r="G175" s="818"/>
      <c r="H175" s="819"/>
      <c r="I175" s="817" t="s">
        <v>835</v>
      </c>
      <c r="J175" s="818"/>
      <c r="K175" s="818"/>
      <c r="L175" s="818"/>
      <c r="M175" s="818"/>
      <c r="N175" s="819"/>
      <c r="O175" s="820" t="s">
        <v>836</v>
      </c>
      <c r="P175" s="818"/>
    </row>
    <row r="176" spans="1:16" ht="8.25" customHeight="1">
      <c r="A176" s="815" t="s">
        <v>837</v>
      </c>
      <c r="B176" s="816"/>
      <c r="C176" s="816"/>
      <c r="D176" s="815"/>
      <c r="E176" s="464" t="s">
        <v>838</v>
      </c>
      <c r="F176" s="817" t="s">
        <v>839</v>
      </c>
      <c r="G176" s="818"/>
      <c r="H176" s="819"/>
      <c r="I176" s="817" t="s">
        <v>840</v>
      </c>
      <c r="J176" s="818"/>
      <c r="K176" s="818"/>
      <c r="L176" s="818"/>
      <c r="M176" s="818"/>
      <c r="N176" s="819"/>
      <c r="O176" s="820" t="s">
        <v>841</v>
      </c>
      <c r="P176" s="818"/>
    </row>
    <row r="177" spans="1:16" ht="7.5" customHeight="1">
      <c r="A177" s="815" t="s">
        <v>842</v>
      </c>
      <c r="B177" s="816"/>
      <c r="C177" s="816"/>
      <c r="D177" s="815"/>
      <c r="E177" s="464" t="s">
        <v>843</v>
      </c>
      <c r="F177" s="817" t="s">
        <v>844</v>
      </c>
      <c r="G177" s="818"/>
      <c r="H177" s="819"/>
      <c r="I177" s="817" t="s">
        <v>845</v>
      </c>
      <c r="J177" s="818"/>
      <c r="K177" s="818"/>
      <c r="L177" s="818"/>
      <c r="M177" s="818"/>
      <c r="N177" s="819"/>
      <c r="O177" s="820" t="s">
        <v>846</v>
      </c>
      <c r="P177" s="818"/>
    </row>
    <row r="178" spans="1:16" ht="8.25" customHeight="1">
      <c r="A178" s="815" t="s">
        <v>847</v>
      </c>
      <c r="B178" s="816"/>
      <c r="C178" s="816"/>
      <c r="D178" s="815"/>
      <c r="E178" s="464" t="s">
        <v>848</v>
      </c>
      <c r="F178" s="817" t="s">
        <v>849</v>
      </c>
      <c r="G178" s="818"/>
      <c r="H178" s="819"/>
      <c r="I178" s="817" t="s">
        <v>850</v>
      </c>
      <c r="J178" s="818"/>
      <c r="K178" s="818"/>
      <c r="L178" s="818"/>
      <c r="M178" s="818"/>
      <c r="N178" s="819"/>
      <c r="O178" s="820" t="s">
        <v>851</v>
      </c>
      <c r="P178" s="818"/>
    </row>
    <row r="179" spans="1:16" ht="8.25" customHeight="1">
      <c r="A179" s="815" t="s">
        <v>852</v>
      </c>
      <c r="B179" s="816"/>
      <c r="C179" s="816"/>
      <c r="D179" s="815"/>
      <c r="E179" s="464" t="s">
        <v>853</v>
      </c>
      <c r="F179" s="817" t="s">
        <v>854</v>
      </c>
      <c r="G179" s="818"/>
      <c r="H179" s="819"/>
      <c r="I179" s="817" t="s">
        <v>855</v>
      </c>
      <c r="J179" s="818"/>
      <c r="K179" s="818"/>
      <c r="L179" s="818"/>
      <c r="M179" s="818"/>
      <c r="N179" s="819"/>
      <c r="O179" s="820" t="s">
        <v>856</v>
      </c>
      <c r="P179" s="818"/>
    </row>
    <row r="180" spans="1:16" ht="8.25" customHeight="1">
      <c r="A180" s="815" t="s">
        <v>857</v>
      </c>
      <c r="B180" s="816"/>
      <c r="C180" s="816"/>
      <c r="D180" s="815"/>
      <c r="E180" s="464" t="s">
        <v>858</v>
      </c>
      <c r="F180" s="817" t="s">
        <v>859</v>
      </c>
      <c r="G180" s="818"/>
      <c r="H180" s="819"/>
      <c r="I180" s="817" t="s">
        <v>860</v>
      </c>
      <c r="J180" s="818"/>
      <c r="K180" s="818"/>
      <c r="L180" s="818"/>
      <c r="M180" s="818"/>
      <c r="N180" s="819"/>
      <c r="O180" s="820" t="s">
        <v>861</v>
      </c>
      <c r="P180" s="818"/>
    </row>
    <row r="181" spans="1:16" ht="8.25" customHeight="1">
      <c r="A181" s="815" t="s">
        <v>862</v>
      </c>
      <c r="B181" s="816"/>
      <c r="C181" s="816"/>
      <c r="D181" s="815"/>
      <c r="E181" s="464" t="s">
        <v>863</v>
      </c>
      <c r="F181" s="817" t="s">
        <v>864</v>
      </c>
      <c r="G181" s="818"/>
      <c r="H181" s="819"/>
      <c r="I181" s="817" t="s">
        <v>865</v>
      </c>
      <c r="J181" s="818"/>
      <c r="K181" s="818"/>
      <c r="L181" s="818"/>
      <c r="M181" s="818"/>
      <c r="N181" s="819"/>
      <c r="O181" s="820" t="s">
        <v>866</v>
      </c>
      <c r="P181" s="818"/>
    </row>
    <row r="182" spans="1:16" ht="8.25" customHeight="1">
      <c r="A182" s="815" t="s">
        <v>867</v>
      </c>
      <c r="B182" s="816"/>
      <c r="C182" s="816"/>
      <c r="D182" s="815"/>
      <c r="E182" s="464" t="s">
        <v>868</v>
      </c>
      <c r="F182" s="817" t="s">
        <v>869</v>
      </c>
      <c r="G182" s="818"/>
      <c r="H182" s="819"/>
      <c r="I182" s="817" t="s">
        <v>870</v>
      </c>
      <c r="J182" s="818"/>
      <c r="K182" s="818"/>
      <c r="L182" s="818"/>
      <c r="M182" s="818"/>
      <c r="N182" s="819"/>
      <c r="O182" s="820" t="s">
        <v>871</v>
      </c>
      <c r="P182" s="818"/>
    </row>
    <row r="183" spans="1:16" ht="7.5" customHeight="1">
      <c r="A183" s="815" t="s">
        <v>872</v>
      </c>
      <c r="B183" s="816"/>
      <c r="C183" s="816"/>
      <c r="D183" s="815"/>
      <c r="E183" s="464" t="s">
        <v>873</v>
      </c>
      <c r="F183" s="817" t="s">
        <v>874</v>
      </c>
      <c r="G183" s="818"/>
      <c r="H183" s="819"/>
      <c r="I183" s="817" t="s">
        <v>875</v>
      </c>
      <c r="J183" s="818"/>
      <c r="K183" s="818"/>
      <c r="L183" s="818"/>
      <c r="M183" s="818"/>
      <c r="N183" s="819"/>
      <c r="O183" s="820" t="s">
        <v>876</v>
      </c>
      <c r="P183" s="818"/>
    </row>
    <row r="184" spans="1:16" ht="8.25" customHeight="1">
      <c r="A184" s="815" t="s">
        <v>877</v>
      </c>
      <c r="B184" s="816"/>
      <c r="C184" s="816"/>
      <c r="D184" s="815"/>
      <c r="E184" s="464" t="s">
        <v>878</v>
      </c>
      <c r="F184" s="817" t="s">
        <v>879</v>
      </c>
      <c r="G184" s="818"/>
      <c r="H184" s="819"/>
      <c r="I184" s="817" t="s">
        <v>880</v>
      </c>
      <c r="J184" s="818"/>
      <c r="K184" s="818"/>
      <c r="L184" s="818"/>
      <c r="M184" s="818"/>
      <c r="N184" s="819"/>
      <c r="O184" s="820" t="s">
        <v>881</v>
      </c>
      <c r="P184" s="818"/>
    </row>
    <row r="185" spans="1:16" ht="8.25" customHeight="1">
      <c r="A185" s="815" t="s">
        <v>882</v>
      </c>
      <c r="B185" s="816"/>
      <c r="C185" s="816"/>
      <c r="D185" s="815"/>
      <c r="E185" s="464" t="s">
        <v>883</v>
      </c>
      <c r="F185" s="817" t="s">
        <v>884</v>
      </c>
      <c r="G185" s="818"/>
      <c r="H185" s="819"/>
      <c r="I185" s="817" t="s">
        <v>885</v>
      </c>
      <c r="J185" s="818"/>
      <c r="K185" s="818"/>
      <c r="L185" s="818"/>
      <c r="M185" s="818"/>
      <c r="N185" s="819"/>
      <c r="O185" s="820" t="s">
        <v>886</v>
      </c>
      <c r="P185" s="818"/>
    </row>
    <row r="186" spans="1:16" ht="8.25" customHeight="1">
      <c r="A186" s="815" t="s">
        <v>887</v>
      </c>
      <c r="B186" s="816"/>
      <c r="C186" s="816"/>
      <c r="D186" s="815"/>
      <c r="E186" s="464" t="s">
        <v>888</v>
      </c>
      <c r="F186" s="817" t="s">
        <v>889</v>
      </c>
      <c r="G186" s="818"/>
      <c r="H186" s="819"/>
      <c r="I186" s="817" t="s">
        <v>890</v>
      </c>
      <c r="J186" s="818"/>
      <c r="K186" s="818"/>
      <c r="L186" s="818"/>
      <c r="M186" s="818"/>
      <c r="N186" s="819"/>
      <c r="O186" s="820" t="s">
        <v>891</v>
      </c>
      <c r="P186" s="818"/>
    </row>
    <row r="187" spans="1:16" ht="8.25" customHeight="1">
      <c r="A187" s="815" t="s">
        <v>892</v>
      </c>
      <c r="B187" s="816"/>
      <c r="C187" s="816"/>
      <c r="D187" s="815"/>
      <c r="E187" s="464" t="s">
        <v>893</v>
      </c>
      <c r="F187" s="817" t="s">
        <v>894</v>
      </c>
      <c r="G187" s="818"/>
      <c r="H187" s="819"/>
      <c r="I187" s="817" t="s">
        <v>895</v>
      </c>
      <c r="J187" s="818"/>
      <c r="K187" s="818"/>
      <c r="L187" s="818"/>
      <c r="M187" s="818"/>
      <c r="N187" s="819"/>
      <c r="O187" s="820" t="s">
        <v>896</v>
      </c>
      <c r="P187" s="818"/>
    </row>
    <row r="188" spans="1:16" ht="7.5" customHeight="1">
      <c r="A188" s="815" t="s">
        <v>897</v>
      </c>
      <c r="B188" s="816"/>
      <c r="C188" s="816"/>
      <c r="D188" s="815"/>
      <c r="E188" s="464" t="s">
        <v>898</v>
      </c>
      <c r="F188" s="817" t="s">
        <v>899</v>
      </c>
      <c r="G188" s="818"/>
      <c r="H188" s="819"/>
      <c r="I188" s="817" t="s">
        <v>900</v>
      </c>
      <c r="J188" s="818"/>
      <c r="K188" s="818"/>
      <c r="L188" s="818"/>
      <c r="M188" s="818"/>
      <c r="N188" s="819"/>
      <c r="O188" s="820" t="s">
        <v>901</v>
      </c>
      <c r="P188" s="818"/>
    </row>
    <row r="189" spans="1:16" ht="8.25" customHeight="1">
      <c r="A189" s="815" t="s">
        <v>902</v>
      </c>
      <c r="B189" s="816"/>
      <c r="C189" s="816"/>
      <c r="D189" s="815"/>
      <c r="E189" s="464" t="s">
        <v>903</v>
      </c>
      <c r="F189" s="817" t="s">
        <v>904</v>
      </c>
      <c r="G189" s="818"/>
      <c r="H189" s="819"/>
      <c r="I189" s="817" t="s">
        <v>905</v>
      </c>
      <c r="J189" s="818"/>
      <c r="K189" s="818"/>
      <c r="L189" s="818"/>
      <c r="M189" s="818"/>
      <c r="N189" s="819"/>
      <c r="O189" s="820" t="s">
        <v>906</v>
      </c>
      <c r="P189" s="818"/>
    </row>
    <row r="190" spans="1:16" ht="8.25" customHeight="1">
      <c r="A190" s="815" t="s">
        <v>907</v>
      </c>
      <c r="B190" s="816"/>
      <c r="C190" s="816"/>
      <c r="D190" s="815"/>
      <c r="E190" s="464" t="s">
        <v>908</v>
      </c>
      <c r="F190" s="817" t="s">
        <v>909</v>
      </c>
      <c r="G190" s="818"/>
      <c r="H190" s="819"/>
      <c r="I190" s="817" t="s">
        <v>910</v>
      </c>
      <c r="J190" s="818"/>
      <c r="K190" s="818"/>
      <c r="L190" s="818"/>
      <c r="M190" s="818"/>
      <c r="N190" s="819"/>
      <c r="O190" s="820" t="s">
        <v>911</v>
      </c>
      <c r="P190" s="818"/>
    </row>
    <row r="191" spans="1:16" ht="8.25" customHeight="1">
      <c r="A191" s="815" t="s">
        <v>912</v>
      </c>
      <c r="B191" s="816"/>
      <c r="C191" s="816"/>
      <c r="D191" s="815"/>
      <c r="E191" s="464" t="s">
        <v>913</v>
      </c>
      <c r="F191" s="817" t="s">
        <v>914</v>
      </c>
      <c r="G191" s="818"/>
      <c r="H191" s="819"/>
      <c r="I191" s="817" t="s">
        <v>915</v>
      </c>
      <c r="J191" s="818"/>
      <c r="K191" s="818"/>
      <c r="L191" s="818"/>
      <c r="M191" s="818"/>
      <c r="N191" s="819"/>
      <c r="O191" s="820" t="s">
        <v>916</v>
      </c>
      <c r="P191" s="818"/>
    </row>
    <row r="192" spans="1:16" ht="8.25" customHeight="1">
      <c r="A192" s="815" t="s">
        <v>917</v>
      </c>
      <c r="B192" s="816"/>
      <c r="C192" s="816"/>
      <c r="D192" s="815"/>
      <c r="E192" s="464" t="s">
        <v>918</v>
      </c>
      <c r="F192" s="817" t="s">
        <v>919</v>
      </c>
      <c r="G192" s="818"/>
      <c r="H192" s="819"/>
      <c r="I192" s="817" t="s">
        <v>920</v>
      </c>
      <c r="J192" s="818"/>
      <c r="K192" s="818"/>
      <c r="L192" s="818"/>
      <c r="M192" s="818"/>
      <c r="N192" s="819"/>
      <c r="O192" s="820" t="s">
        <v>921</v>
      </c>
      <c r="P192" s="818"/>
    </row>
    <row r="193" spans="1:16" ht="7.5" customHeight="1">
      <c r="A193" s="815" t="s">
        <v>922</v>
      </c>
      <c r="B193" s="816"/>
      <c r="C193" s="816"/>
      <c r="D193" s="815"/>
      <c r="E193" s="464" t="s">
        <v>923</v>
      </c>
      <c r="F193" s="817" t="s">
        <v>924</v>
      </c>
      <c r="G193" s="818"/>
      <c r="H193" s="819"/>
      <c r="I193" s="817" t="s">
        <v>925</v>
      </c>
      <c r="J193" s="818"/>
      <c r="K193" s="818"/>
      <c r="L193" s="818"/>
      <c r="M193" s="818"/>
      <c r="N193" s="819"/>
      <c r="O193" s="820" t="s">
        <v>926</v>
      </c>
      <c r="P193" s="818"/>
    </row>
    <row r="194" spans="1:16" ht="8.25" customHeight="1">
      <c r="A194" s="815" t="s">
        <v>927</v>
      </c>
      <c r="B194" s="816"/>
      <c r="C194" s="816"/>
      <c r="D194" s="815"/>
      <c r="E194" s="464" t="s">
        <v>928</v>
      </c>
      <c r="F194" s="817" t="s">
        <v>929</v>
      </c>
      <c r="G194" s="818"/>
      <c r="H194" s="819"/>
      <c r="I194" s="817" t="s">
        <v>930</v>
      </c>
      <c r="J194" s="818"/>
      <c r="K194" s="818"/>
      <c r="L194" s="818"/>
      <c r="M194" s="818"/>
      <c r="N194" s="819"/>
      <c r="O194" s="820" t="s">
        <v>931</v>
      </c>
      <c r="P194" s="818"/>
    </row>
    <row r="195" spans="1:16" ht="8.25" customHeight="1">
      <c r="A195" s="815" t="s">
        <v>932</v>
      </c>
      <c r="B195" s="816"/>
      <c r="C195" s="816"/>
      <c r="D195" s="815"/>
      <c r="E195" s="464" t="s">
        <v>933</v>
      </c>
      <c r="F195" s="817" t="s">
        <v>934</v>
      </c>
      <c r="G195" s="818"/>
      <c r="H195" s="819"/>
      <c r="I195" s="817" t="s">
        <v>935</v>
      </c>
      <c r="J195" s="818"/>
      <c r="K195" s="818"/>
      <c r="L195" s="818"/>
      <c r="M195" s="818"/>
      <c r="N195" s="819"/>
      <c r="O195" s="820" t="s">
        <v>936</v>
      </c>
      <c r="P195" s="818"/>
    </row>
    <row r="196" spans="1:16" ht="8.25" customHeight="1">
      <c r="A196" s="815" t="s">
        <v>937</v>
      </c>
      <c r="B196" s="816"/>
      <c r="C196" s="816"/>
      <c r="D196" s="815"/>
      <c r="E196" s="464" t="s">
        <v>938</v>
      </c>
      <c r="F196" s="817" t="s">
        <v>939</v>
      </c>
      <c r="G196" s="818"/>
      <c r="H196" s="819"/>
      <c r="I196" s="817" t="s">
        <v>940</v>
      </c>
      <c r="J196" s="818"/>
      <c r="K196" s="818"/>
      <c r="L196" s="818"/>
      <c r="M196" s="818"/>
      <c r="N196" s="819"/>
      <c r="O196" s="820" t="s">
        <v>941</v>
      </c>
      <c r="P196" s="818"/>
    </row>
    <row r="197" spans="1:16" ht="8.25" customHeight="1">
      <c r="A197" s="815" t="s">
        <v>942</v>
      </c>
      <c r="B197" s="816"/>
      <c r="C197" s="816"/>
      <c r="D197" s="815"/>
      <c r="E197" s="464" t="s">
        <v>943</v>
      </c>
      <c r="F197" s="817" t="s">
        <v>944</v>
      </c>
      <c r="G197" s="818"/>
      <c r="H197" s="819"/>
      <c r="I197" s="817" t="s">
        <v>945</v>
      </c>
      <c r="J197" s="818"/>
      <c r="K197" s="818"/>
      <c r="L197" s="818"/>
      <c r="M197" s="818"/>
      <c r="N197" s="819"/>
      <c r="O197" s="820" t="s">
        <v>946</v>
      </c>
      <c r="P197" s="818"/>
    </row>
    <row r="198" spans="1:16" ht="8.25" customHeight="1">
      <c r="A198" s="815" t="s">
        <v>947</v>
      </c>
      <c r="B198" s="816"/>
      <c r="C198" s="816"/>
      <c r="D198" s="815"/>
      <c r="E198" s="464" t="s">
        <v>948</v>
      </c>
      <c r="F198" s="817" t="s">
        <v>949</v>
      </c>
      <c r="G198" s="818"/>
      <c r="H198" s="819"/>
      <c r="I198" s="817" t="s">
        <v>950</v>
      </c>
      <c r="J198" s="818"/>
      <c r="K198" s="818"/>
      <c r="L198" s="818"/>
      <c r="M198" s="818"/>
      <c r="N198" s="819"/>
      <c r="O198" s="820" t="s">
        <v>951</v>
      </c>
      <c r="P198" s="818"/>
    </row>
    <row r="199" spans="1:16" ht="7.5" customHeight="1">
      <c r="A199" s="815" t="s">
        <v>952</v>
      </c>
      <c r="B199" s="816"/>
      <c r="C199" s="816"/>
      <c r="D199" s="815"/>
      <c r="E199" s="464" t="s">
        <v>953</v>
      </c>
      <c r="F199" s="817" t="s">
        <v>954</v>
      </c>
      <c r="G199" s="818"/>
      <c r="H199" s="819"/>
      <c r="I199" s="817" t="s">
        <v>955</v>
      </c>
      <c r="J199" s="818"/>
      <c r="K199" s="818"/>
      <c r="L199" s="818"/>
      <c r="M199" s="818"/>
      <c r="N199" s="819"/>
      <c r="O199" s="820" t="s">
        <v>956</v>
      </c>
      <c r="P199" s="818"/>
    </row>
    <row r="200" spans="1:16" ht="8.25" customHeight="1">
      <c r="A200" s="815" t="s">
        <v>957</v>
      </c>
      <c r="B200" s="816"/>
      <c r="C200" s="816"/>
      <c r="D200" s="815"/>
      <c r="E200" s="464" t="s">
        <v>958</v>
      </c>
      <c r="F200" s="817" t="s">
        <v>959</v>
      </c>
      <c r="G200" s="818"/>
      <c r="H200" s="819"/>
      <c r="I200" s="817" t="s">
        <v>960</v>
      </c>
      <c r="J200" s="818"/>
      <c r="K200" s="818"/>
      <c r="L200" s="818"/>
      <c r="M200" s="818"/>
      <c r="N200" s="819"/>
      <c r="O200" s="820" t="s">
        <v>961</v>
      </c>
      <c r="P200" s="818"/>
    </row>
    <row r="201" spans="1:16" ht="8.25" customHeight="1">
      <c r="A201" s="815" t="s">
        <v>962</v>
      </c>
      <c r="B201" s="816"/>
      <c r="C201" s="816"/>
      <c r="D201" s="815"/>
      <c r="E201" s="464" t="s">
        <v>963</v>
      </c>
      <c r="F201" s="817" t="s">
        <v>964</v>
      </c>
      <c r="G201" s="818"/>
      <c r="H201" s="819"/>
      <c r="I201" s="817" t="s">
        <v>965</v>
      </c>
      <c r="J201" s="818"/>
      <c r="K201" s="818"/>
      <c r="L201" s="818"/>
      <c r="M201" s="818"/>
      <c r="N201" s="819"/>
      <c r="O201" s="820" t="s">
        <v>966</v>
      </c>
      <c r="P201" s="818"/>
    </row>
    <row r="202" spans="1:16" ht="8.25" customHeight="1">
      <c r="A202" s="815" t="s">
        <v>967</v>
      </c>
      <c r="B202" s="816"/>
      <c r="C202" s="816"/>
      <c r="D202" s="815"/>
      <c r="E202" s="464" t="s">
        <v>968</v>
      </c>
      <c r="F202" s="817" t="s">
        <v>969</v>
      </c>
      <c r="G202" s="818"/>
      <c r="H202" s="819"/>
      <c r="I202" s="817" t="s">
        <v>970</v>
      </c>
      <c r="J202" s="818"/>
      <c r="K202" s="818"/>
      <c r="L202" s="818"/>
      <c r="M202" s="818"/>
      <c r="N202" s="819"/>
      <c r="O202" s="820" t="s">
        <v>971</v>
      </c>
      <c r="P202" s="818"/>
    </row>
    <row r="203" spans="1:16" ht="8.25" customHeight="1">
      <c r="A203" s="815" t="s">
        <v>972</v>
      </c>
      <c r="B203" s="816"/>
      <c r="C203" s="816"/>
      <c r="D203" s="815"/>
      <c r="E203" s="464" t="s">
        <v>973</v>
      </c>
      <c r="F203" s="817" t="s">
        <v>974</v>
      </c>
      <c r="G203" s="818"/>
      <c r="H203" s="819"/>
      <c r="I203" s="817" t="s">
        <v>975</v>
      </c>
      <c r="J203" s="818"/>
      <c r="K203" s="818"/>
      <c r="L203" s="818"/>
      <c r="M203" s="818"/>
      <c r="N203" s="819"/>
      <c r="O203" s="820" t="s">
        <v>976</v>
      </c>
      <c r="P203" s="818"/>
    </row>
    <row r="204" spans="1:16" ht="7.5" customHeight="1">
      <c r="A204" s="815" t="s">
        <v>977</v>
      </c>
      <c r="B204" s="816"/>
      <c r="C204" s="816"/>
      <c r="D204" s="815"/>
      <c r="E204" s="464" t="s">
        <v>978</v>
      </c>
      <c r="F204" s="817" t="s">
        <v>979</v>
      </c>
      <c r="G204" s="818"/>
      <c r="H204" s="819"/>
      <c r="I204" s="817" t="s">
        <v>980</v>
      </c>
      <c r="J204" s="818"/>
      <c r="K204" s="818"/>
      <c r="L204" s="818"/>
      <c r="M204" s="818"/>
      <c r="N204" s="819"/>
      <c r="O204" s="820" t="s">
        <v>981</v>
      </c>
      <c r="P204" s="818"/>
    </row>
    <row r="205" spans="1:16" ht="8.25" customHeight="1">
      <c r="A205" s="815" t="s">
        <v>982</v>
      </c>
      <c r="B205" s="816"/>
      <c r="C205" s="816"/>
      <c r="D205" s="815"/>
      <c r="E205" s="464" t="s">
        <v>983</v>
      </c>
      <c r="F205" s="817" t="s">
        <v>984</v>
      </c>
      <c r="G205" s="818"/>
      <c r="H205" s="819"/>
      <c r="I205" s="817" t="s">
        <v>985</v>
      </c>
      <c r="J205" s="818"/>
      <c r="K205" s="818"/>
      <c r="L205" s="818"/>
      <c r="M205" s="818"/>
      <c r="N205" s="819"/>
      <c r="O205" s="820" t="s">
        <v>986</v>
      </c>
      <c r="P205" s="818"/>
    </row>
    <row r="206" spans="1:16" ht="8.25" customHeight="1">
      <c r="A206" s="815" t="s">
        <v>987</v>
      </c>
      <c r="B206" s="816"/>
      <c r="C206" s="816"/>
      <c r="D206" s="815"/>
      <c r="E206" s="464" t="s">
        <v>988</v>
      </c>
      <c r="F206" s="817" t="s">
        <v>989</v>
      </c>
      <c r="G206" s="818"/>
      <c r="H206" s="819"/>
      <c r="I206" s="817" t="s">
        <v>990</v>
      </c>
      <c r="J206" s="818"/>
      <c r="K206" s="818"/>
      <c r="L206" s="818"/>
      <c r="M206" s="818"/>
      <c r="N206" s="819"/>
      <c r="O206" s="820" t="s">
        <v>991</v>
      </c>
      <c r="P206" s="818"/>
    </row>
    <row r="207" spans="1:16" ht="8.25" customHeight="1">
      <c r="A207" s="815" t="s">
        <v>992</v>
      </c>
      <c r="B207" s="816"/>
      <c r="C207" s="816"/>
      <c r="D207" s="815"/>
      <c r="E207" s="464" t="s">
        <v>993</v>
      </c>
      <c r="F207" s="817" t="s">
        <v>994</v>
      </c>
      <c r="G207" s="818"/>
      <c r="H207" s="819"/>
      <c r="I207" s="817" t="s">
        <v>995</v>
      </c>
      <c r="J207" s="818"/>
      <c r="K207" s="818"/>
      <c r="L207" s="818"/>
      <c r="M207" s="818"/>
      <c r="N207" s="819"/>
      <c r="O207" s="820" t="s">
        <v>996</v>
      </c>
      <c r="P207" s="818"/>
    </row>
    <row r="208" spans="1:16" ht="8.25" customHeight="1">
      <c r="A208" s="815" t="s">
        <v>997</v>
      </c>
      <c r="B208" s="816"/>
      <c r="C208" s="816"/>
      <c r="D208" s="815"/>
      <c r="E208" s="464" t="s">
        <v>998</v>
      </c>
      <c r="F208" s="817" t="s">
        <v>999</v>
      </c>
      <c r="G208" s="818"/>
      <c r="H208" s="819"/>
      <c r="I208" s="817" t="s">
        <v>1000</v>
      </c>
      <c r="J208" s="818"/>
      <c r="K208" s="818"/>
      <c r="L208" s="818"/>
      <c r="M208" s="818"/>
      <c r="N208" s="819"/>
      <c r="O208" s="820" t="s">
        <v>1001</v>
      </c>
      <c r="P208" s="818"/>
    </row>
    <row r="209" spans="1:16" ht="7.5" customHeight="1">
      <c r="A209" s="815" t="s">
        <v>1002</v>
      </c>
      <c r="B209" s="816"/>
      <c r="C209" s="816"/>
      <c r="D209" s="815"/>
      <c r="E209" s="464" t="s">
        <v>1003</v>
      </c>
      <c r="F209" s="817" t="s">
        <v>1004</v>
      </c>
      <c r="G209" s="818"/>
      <c r="H209" s="819"/>
      <c r="I209" s="817" t="s">
        <v>1005</v>
      </c>
      <c r="J209" s="818"/>
      <c r="K209" s="818"/>
      <c r="L209" s="818"/>
      <c r="M209" s="818"/>
      <c r="N209" s="819"/>
      <c r="O209" s="820" t="s">
        <v>1006</v>
      </c>
      <c r="P209" s="818"/>
    </row>
    <row r="210" spans="1:16" ht="8.25" customHeight="1">
      <c r="A210" s="815" t="s">
        <v>1007</v>
      </c>
      <c r="B210" s="816"/>
      <c r="C210" s="816"/>
      <c r="D210" s="815"/>
      <c r="E210" s="464" t="s">
        <v>1008</v>
      </c>
      <c r="F210" s="817" t="s">
        <v>1009</v>
      </c>
      <c r="G210" s="818"/>
      <c r="H210" s="819"/>
      <c r="I210" s="817" t="s">
        <v>1010</v>
      </c>
      <c r="J210" s="818"/>
      <c r="K210" s="818"/>
      <c r="L210" s="818"/>
      <c r="M210" s="818"/>
      <c r="N210" s="819"/>
      <c r="O210" s="820" t="s">
        <v>1011</v>
      </c>
      <c r="P210" s="818"/>
    </row>
    <row r="211" spans="1:16" ht="8.25" customHeight="1">
      <c r="A211" s="815" t="s">
        <v>1012</v>
      </c>
      <c r="B211" s="816"/>
      <c r="C211" s="816"/>
      <c r="D211" s="815"/>
      <c r="E211" s="464" t="s">
        <v>1013</v>
      </c>
      <c r="F211" s="817" t="s">
        <v>1014</v>
      </c>
      <c r="G211" s="818"/>
      <c r="H211" s="819"/>
      <c r="I211" s="817" t="s">
        <v>1015</v>
      </c>
      <c r="J211" s="818"/>
      <c r="K211" s="818"/>
      <c r="L211" s="818"/>
      <c r="M211" s="818"/>
      <c r="N211" s="819"/>
      <c r="O211" s="820" t="s">
        <v>1016</v>
      </c>
      <c r="P211" s="818"/>
    </row>
    <row r="212" spans="1:16" ht="8.25" customHeight="1">
      <c r="A212" s="815" t="s">
        <v>1017</v>
      </c>
      <c r="B212" s="816"/>
      <c r="C212" s="816"/>
      <c r="D212" s="815"/>
      <c r="E212" s="464" t="s">
        <v>1018</v>
      </c>
      <c r="F212" s="817" t="s">
        <v>1019</v>
      </c>
      <c r="G212" s="818"/>
      <c r="H212" s="819"/>
      <c r="I212" s="817" t="s">
        <v>1020</v>
      </c>
      <c r="J212" s="818"/>
      <c r="K212" s="818"/>
      <c r="L212" s="818"/>
      <c r="M212" s="818"/>
      <c r="N212" s="819"/>
      <c r="O212" s="820" t="s">
        <v>1021</v>
      </c>
      <c r="P212" s="818"/>
    </row>
    <row r="213" spans="1:16" ht="8.25" customHeight="1">
      <c r="A213" s="815" t="s">
        <v>1022</v>
      </c>
      <c r="B213" s="816"/>
      <c r="C213" s="816"/>
      <c r="D213" s="815"/>
      <c r="E213" s="464" t="s">
        <v>1023</v>
      </c>
      <c r="F213" s="817" t="s">
        <v>1024</v>
      </c>
      <c r="G213" s="818"/>
      <c r="H213" s="819"/>
      <c r="I213" s="817" t="s">
        <v>1025</v>
      </c>
      <c r="J213" s="818"/>
      <c r="K213" s="818"/>
      <c r="L213" s="818"/>
      <c r="M213" s="818"/>
      <c r="N213" s="819"/>
      <c r="O213" s="820" t="s">
        <v>1026</v>
      </c>
      <c r="P213" s="818"/>
    </row>
    <row r="214" spans="1:16" ht="7.5" customHeight="1">
      <c r="A214" s="815" t="s">
        <v>1027</v>
      </c>
      <c r="B214" s="816"/>
      <c r="C214" s="816"/>
      <c r="D214" s="815"/>
      <c r="E214" s="464" t="s">
        <v>1028</v>
      </c>
      <c r="F214" s="817" t="s">
        <v>1029</v>
      </c>
      <c r="G214" s="818"/>
      <c r="H214" s="819"/>
      <c r="I214" s="817" t="s">
        <v>1030</v>
      </c>
      <c r="J214" s="818"/>
      <c r="K214" s="818"/>
      <c r="L214" s="818"/>
      <c r="M214" s="818"/>
      <c r="N214" s="819"/>
      <c r="O214" s="820" t="s">
        <v>1031</v>
      </c>
      <c r="P214" s="818"/>
    </row>
    <row r="215" spans="1:16" ht="8.25" customHeight="1">
      <c r="A215" s="815" t="s">
        <v>1032</v>
      </c>
      <c r="B215" s="816"/>
      <c r="C215" s="816"/>
      <c r="D215" s="815"/>
      <c r="E215" s="464" t="s">
        <v>1033</v>
      </c>
      <c r="F215" s="817" t="s">
        <v>1034</v>
      </c>
      <c r="G215" s="818"/>
      <c r="H215" s="819"/>
      <c r="I215" s="817" t="s">
        <v>1035</v>
      </c>
      <c r="J215" s="818"/>
      <c r="K215" s="818"/>
      <c r="L215" s="818"/>
      <c r="M215" s="818"/>
      <c r="N215" s="819"/>
      <c r="O215" s="820" t="s">
        <v>1036</v>
      </c>
      <c r="P215" s="818"/>
    </row>
    <row r="216" spans="1:16" ht="8.25" customHeight="1">
      <c r="A216" s="815" t="s">
        <v>1037</v>
      </c>
      <c r="B216" s="816"/>
      <c r="C216" s="816"/>
      <c r="D216" s="815"/>
      <c r="E216" s="464" t="s">
        <v>1038</v>
      </c>
      <c r="F216" s="817" t="s">
        <v>1039</v>
      </c>
      <c r="G216" s="818"/>
      <c r="H216" s="819"/>
      <c r="I216" s="817" t="s">
        <v>1040</v>
      </c>
      <c r="J216" s="818"/>
      <c r="K216" s="818"/>
      <c r="L216" s="818"/>
      <c r="M216" s="818"/>
      <c r="N216" s="819"/>
      <c r="O216" s="820" t="s">
        <v>1041</v>
      </c>
      <c r="P216" s="818"/>
    </row>
    <row r="217" spans="1:16" ht="8.25" customHeight="1">
      <c r="A217" s="815" t="s">
        <v>1042</v>
      </c>
      <c r="B217" s="816"/>
      <c r="C217" s="816"/>
      <c r="D217" s="815"/>
      <c r="E217" s="464" t="s">
        <v>1043</v>
      </c>
      <c r="F217" s="817" t="s">
        <v>1044</v>
      </c>
      <c r="G217" s="818"/>
      <c r="H217" s="819"/>
      <c r="I217" s="817" t="s">
        <v>1045</v>
      </c>
      <c r="J217" s="818"/>
      <c r="K217" s="818"/>
      <c r="L217" s="818"/>
      <c r="M217" s="818"/>
      <c r="N217" s="819"/>
      <c r="O217" s="820" t="s">
        <v>1046</v>
      </c>
      <c r="P217" s="818"/>
    </row>
    <row r="218" spans="1:16" ht="8.25" customHeight="1">
      <c r="A218" s="815" t="s">
        <v>1047</v>
      </c>
      <c r="B218" s="816"/>
      <c r="C218" s="816"/>
      <c r="D218" s="815"/>
      <c r="E218" s="464" t="s">
        <v>1048</v>
      </c>
      <c r="F218" s="817" t="s">
        <v>1049</v>
      </c>
      <c r="G218" s="818"/>
      <c r="H218" s="819"/>
      <c r="I218" s="817" t="s">
        <v>1050</v>
      </c>
      <c r="J218" s="818"/>
      <c r="K218" s="818"/>
      <c r="L218" s="818"/>
      <c r="M218" s="818"/>
      <c r="N218" s="819"/>
      <c r="O218" s="820" t="s">
        <v>1051</v>
      </c>
      <c r="P218" s="818"/>
    </row>
    <row r="219" spans="1:16" ht="8.25" customHeight="1">
      <c r="A219" s="815" t="s">
        <v>1052</v>
      </c>
      <c r="B219" s="816"/>
      <c r="C219" s="816"/>
      <c r="D219" s="815"/>
      <c r="E219" s="464" t="s">
        <v>1053</v>
      </c>
      <c r="F219" s="817" t="s">
        <v>1054</v>
      </c>
      <c r="G219" s="818"/>
      <c r="H219" s="819"/>
      <c r="I219" s="817" t="s">
        <v>1055</v>
      </c>
      <c r="J219" s="818"/>
      <c r="K219" s="818"/>
      <c r="L219" s="818"/>
      <c r="M219" s="818"/>
      <c r="N219" s="819"/>
      <c r="O219" s="820" t="s">
        <v>1056</v>
      </c>
      <c r="P219" s="818"/>
    </row>
    <row r="220" spans="1:16" ht="7.5" customHeight="1">
      <c r="A220" s="815" t="s">
        <v>1057</v>
      </c>
      <c r="B220" s="816"/>
      <c r="C220" s="816"/>
      <c r="D220" s="815"/>
      <c r="E220" s="464" t="s">
        <v>1058</v>
      </c>
      <c r="F220" s="817" t="s">
        <v>1059</v>
      </c>
      <c r="G220" s="818"/>
      <c r="H220" s="819"/>
      <c r="I220" s="817" t="s">
        <v>1060</v>
      </c>
      <c r="J220" s="818"/>
      <c r="K220" s="818"/>
      <c r="L220" s="818"/>
      <c r="M220" s="818"/>
      <c r="N220" s="819"/>
      <c r="O220" s="820" t="s">
        <v>1061</v>
      </c>
      <c r="P220" s="818"/>
    </row>
    <row r="221" spans="1:16" ht="8.25" customHeight="1">
      <c r="A221" s="815" t="s">
        <v>1062</v>
      </c>
      <c r="B221" s="816"/>
      <c r="C221" s="816"/>
      <c r="D221" s="815"/>
      <c r="E221" s="464" t="s">
        <v>1063</v>
      </c>
      <c r="F221" s="817" t="s">
        <v>1064</v>
      </c>
      <c r="G221" s="818"/>
      <c r="H221" s="819"/>
      <c r="I221" s="817" t="s">
        <v>1065</v>
      </c>
      <c r="J221" s="818"/>
      <c r="K221" s="818"/>
      <c r="L221" s="818"/>
      <c r="M221" s="818"/>
      <c r="N221" s="819"/>
      <c r="O221" s="820" t="s">
        <v>1066</v>
      </c>
      <c r="P221" s="818"/>
    </row>
    <row r="222" spans="1:16" ht="8.25" customHeight="1">
      <c r="A222" s="815" t="s">
        <v>1067</v>
      </c>
      <c r="B222" s="816"/>
      <c r="C222" s="816"/>
      <c r="D222" s="815"/>
      <c r="E222" s="464" t="s">
        <v>1068</v>
      </c>
      <c r="F222" s="817" t="s">
        <v>1069</v>
      </c>
      <c r="G222" s="818"/>
      <c r="H222" s="819"/>
      <c r="I222" s="817" t="s">
        <v>1070</v>
      </c>
      <c r="J222" s="818"/>
      <c r="K222" s="818"/>
      <c r="L222" s="818"/>
      <c r="M222" s="818"/>
      <c r="N222" s="819"/>
      <c r="O222" s="820" t="s">
        <v>1071</v>
      </c>
      <c r="P222" s="818"/>
    </row>
    <row r="223" spans="1:16" ht="8.25" customHeight="1">
      <c r="A223" s="815" t="s">
        <v>1072</v>
      </c>
      <c r="B223" s="816"/>
      <c r="C223" s="816"/>
      <c r="D223" s="815"/>
      <c r="E223" s="464" t="s">
        <v>1073</v>
      </c>
      <c r="F223" s="817" t="s">
        <v>1074</v>
      </c>
      <c r="G223" s="818"/>
      <c r="H223" s="819"/>
      <c r="I223" s="817" t="s">
        <v>1075</v>
      </c>
      <c r="J223" s="818"/>
      <c r="K223" s="818"/>
      <c r="L223" s="818"/>
      <c r="M223" s="818"/>
      <c r="N223" s="819"/>
      <c r="O223" s="820" t="s">
        <v>1076</v>
      </c>
      <c r="P223" s="818"/>
    </row>
    <row r="224" spans="1:16" ht="8.25" customHeight="1">
      <c r="A224" s="815" t="s">
        <v>1077</v>
      </c>
      <c r="B224" s="816"/>
      <c r="C224" s="816"/>
      <c r="D224" s="815"/>
      <c r="E224" s="464" t="s">
        <v>1078</v>
      </c>
      <c r="F224" s="817" t="s">
        <v>1079</v>
      </c>
      <c r="G224" s="818"/>
      <c r="H224" s="819"/>
      <c r="I224" s="817" t="s">
        <v>1080</v>
      </c>
      <c r="J224" s="818"/>
      <c r="K224" s="818"/>
      <c r="L224" s="818"/>
      <c r="M224" s="818"/>
      <c r="N224" s="819"/>
      <c r="O224" s="820" t="s">
        <v>1081</v>
      </c>
      <c r="P224" s="818"/>
    </row>
    <row r="225" spans="1:16" ht="7.5" customHeight="1">
      <c r="A225" s="815" t="s">
        <v>1082</v>
      </c>
      <c r="B225" s="816"/>
      <c r="C225" s="816"/>
      <c r="D225" s="815"/>
      <c r="E225" s="464" t="s">
        <v>1083</v>
      </c>
      <c r="F225" s="817" t="s">
        <v>1084</v>
      </c>
      <c r="G225" s="818"/>
      <c r="H225" s="819"/>
      <c r="I225" s="817" t="s">
        <v>1085</v>
      </c>
      <c r="J225" s="818"/>
      <c r="K225" s="818"/>
      <c r="L225" s="818"/>
      <c r="M225" s="818"/>
      <c r="N225" s="819"/>
      <c r="O225" s="820" t="s">
        <v>1086</v>
      </c>
      <c r="P225" s="818"/>
    </row>
    <row r="226" spans="1:16" ht="8.25" customHeight="1">
      <c r="A226" s="815" t="s">
        <v>1087</v>
      </c>
      <c r="B226" s="816"/>
      <c r="C226" s="816"/>
      <c r="D226" s="815"/>
      <c r="E226" s="464" t="s">
        <v>1088</v>
      </c>
      <c r="F226" s="817" t="s">
        <v>1089</v>
      </c>
      <c r="G226" s="818"/>
      <c r="H226" s="819"/>
      <c r="I226" s="817" t="s">
        <v>1090</v>
      </c>
      <c r="J226" s="818"/>
      <c r="K226" s="818"/>
      <c r="L226" s="818"/>
      <c r="M226" s="818"/>
      <c r="N226" s="819"/>
      <c r="O226" s="820" t="s">
        <v>1091</v>
      </c>
      <c r="P226" s="818"/>
    </row>
    <row r="227" spans="1:16" ht="8.25" customHeight="1">
      <c r="A227" s="815" t="s">
        <v>1092</v>
      </c>
      <c r="B227" s="816"/>
      <c r="C227" s="816"/>
      <c r="D227" s="815"/>
      <c r="E227" s="464" t="s">
        <v>1093</v>
      </c>
      <c r="F227" s="817" t="s">
        <v>1094</v>
      </c>
      <c r="G227" s="818"/>
      <c r="H227" s="819"/>
      <c r="I227" s="817" t="s">
        <v>1095</v>
      </c>
      <c r="J227" s="818"/>
      <c r="K227" s="818"/>
      <c r="L227" s="818"/>
      <c r="M227" s="818"/>
      <c r="N227" s="819"/>
      <c r="O227" s="820" t="s">
        <v>1096</v>
      </c>
      <c r="P227" s="818"/>
    </row>
    <row r="228" spans="1:16" ht="8.25" customHeight="1">
      <c r="A228" s="815" t="s">
        <v>1097</v>
      </c>
      <c r="B228" s="816"/>
      <c r="C228" s="816"/>
      <c r="D228" s="815"/>
      <c r="E228" s="464" t="s">
        <v>1098</v>
      </c>
      <c r="F228" s="817" t="s">
        <v>1099</v>
      </c>
      <c r="G228" s="818"/>
      <c r="H228" s="819"/>
      <c r="I228" s="817" t="s">
        <v>1100</v>
      </c>
      <c r="J228" s="818"/>
      <c r="K228" s="818"/>
      <c r="L228" s="818"/>
      <c r="M228" s="818"/>
      <c r="N228" s="819"/>
      <c r="O228" s="820" t="s">
        <v>1101</v>
      </c>
      <c r="P228" s="818"/>
    </row>
    <row r="229" spans="1:16" ht="8.25" customHeight="1">
      <c r="A229" s="815" t="s">
        <v>1102</v>
      </c>
      <c r="B229" s="816"/>
      <c r="C229" s="816"/>
      <c r="D229" s="815"/>
      <c r="E229" s="464" t="s">
        <v>1103</v>
      </c>
      <c r="F229" s="817" t="s">
        <v>1104</v>
      </c>
      <c r="G229" s="818"/>
      <c r="H229" s="819"/>
      <c r="I229" s="817" t="s">
        <v>1105</v>
      </c>
      <c r="J229" s="818"/>
      <c r="K229" s="818"/>
      <c r="L229" s="818"/>
      <c r="M229" s="818"/>
      <c r="N229" s="819"/>
      <c r="O229" s="820" t="s">
        <v>1106</v>
      </c>
      <c r="P229" s="818"/>
    </row>
    <row r="230" spans="1:16" ht="7.5" customHeight="1">
      <c r="A230" s="815" t="s">
        <v>1107</v>
      </c>
      <c r="B230" s="816"/>
      <c r="C230" s="816"/>
      <c r="D230" s="815"/>
      <c r="E230" s="464" t="s">
        <v>1108</v>
      </c>
      <c r="F230" s="817" t="s">
        <v>1109</v>
      </c>
      <c r="G230" s="818"/>
      <c r="H230" s="819"/>
      <c r="I230" s="817" t="s">
        <v>1110</v>
      </c>
      <c r="J230" s="818"/>
      <c r="K230" s="818"/>
      <c r="L230" s="818"/>
      <c r="M230" s="818"/>
      <c r="N230" s="819"/>
      <c r="O230" s="820" t="s">
        <v>1111</v>
      </c>
      <c r="P230" s="818"/>
    </row>
    <row r="231" spans="1:16" ht="8.25" customHeight="1">
      <c r="A231" s="815" t="s">
        <v>1112</v>
      </c>
      <c r="B231" s="816"/>
      <c r="C231" s="816"/>
      <c r="D231" s="815"/>
      <c r="E231" s="464" t="s">
        <v>1113</v>
      </c>
      <c r="F231" s="817" t="s">
        <v>1114</v>
      </c>
      <c r="G231" s="818"/>
      <c r="H231" s="819"/>
      <c r="I231" s="817" t="s">
        <v>1115</v>
      </c>
      <c r="J231" s="818"/>
      <c r="K231" s="818"/>
      <c r="L231" s="818"/>
      <c r="M231" s="818"/>
      <c r="N231" s="819"/>
      <c r="O231" s="820" t="s">
        <v>1116</v>
      </c>
      <c r="P231" s="818"/>
    </row>
    <row r="232" spans="1:16" ht="8.25" customHeight="1">
      <c r="A232" s="815" t="s">
        <v>1117</v>
      </c>
      <c r="B232" s="816"/>
      <c r="C232" s="816"/>
      <c r="D232" s="815"/>
      <c r="E232" s="464" t="s">
        <v>1118</v>
      </c>
      <c r="F232" s="817" t="s">
        <v>1119</v>
      </c>
      <c r="G232" s="818"/>
      <c r="H232" s="819"/>
      <c r="I232" s="817" t="s">
        <v>1120</v>
      </c>
      <c r="J232" s="818"/>
      <c r="K232" s="818"/>
      <c r="L232" s="818"/>
      <c r="M232" s="818"/>
      <c r="N232" s="819"/>
      <c r="O232" s="820" t="s">
        <v>1121</v>
      </c>
      <c r="P232" s="818"/>
    </row>
    <row r="233" spans="1:16" ht="8.25" customHeight="1">
      <c r="A233" s="815" t="s">
        <v>1122</v>
      </c>
      <c r="B233" s="816"/>
      <c r="C233" s="816"/>
      <c r="D233" s="815"/>
      <c r="E233" s="464" t="s">
        <v>1123</v>
      </c>
      <c r="F233" s="817" t="s">
        <v>1124</v>
      </c>
      <c r="G233" s="818"/>
      <c r="H233" s="819"/>
      <c r="I233" s="817" t="s">
        <v>1125</v>
      </c>
      <c r="J233" s="818"/>
      <c r="K233" s="818"/>
      <c r="L233" s="818"/>
      <c r="M233" s="818"/>
      <c r="N233" s="819"/>
      <c r="O233" s="820" t="s">
        <v>1126</v>
      </c>
      <c r="P233" s="818"/>
    </row>
    <row r="234" spans="1:16" ht="8.25" customHeight="1">
      <c r="A234" s="815" t="s">
        <v>1127</v>
      </c>
      <c r="B234" s="816"/>
      <c r="C234" s="816"/>
      <c r="D234" s="815"/>
      <c r="E234" s="464" t="s">
        <v>1128</v>
      </c>
      <c r="F234" s="817" t="s">
        <v>1129</v>
      </c>
      <c r="G234" s="818"/>
      <c r="H234" s="819"/>
      <c r="I234" s="817" t="s">
        <v>1130</v>
      </c>
      <c r="J234" s="818"/>
      <c r="K234" s="818"/>
      <c r="L234" s="818"/>
      <c r="M234" s="818"/>
      <c r="N234" s="819"/>
      <c r="O234" s="820" t="s">
        <v>1131</v>
      </c>
      <c r="P234" s="818"/>
    </row>
    <row r="235" spans="1:16" ht="8.25" customHeight="1">
      <c r="A235" s="815" t="s">
        <v>1132</v>
      </c>
      <c r="B235" s="816"/>
      <c r="C235" s="816"/>
      <c r="D235" s="815"/>
      <c r="E235" s="464" t="s">
        <v>1133</v>
      </c>
      <c r="F235" s="817" t="s">
        <v>1134</v>
      </c>
      <c r="G235" s="818"/>
      <c r="H235" s="819"/>
      <c r="I235" s="817" t="s">
        <v>1135</v>
      </c>
      <c r="J235" s="818"/>
      <c r="K235" s="818"/>
      <c r="L235" s="818"/>
      <c r="M235" s="818"/>
      <c r="N235" s="819"/>
      <c r="O235" s="820" t="s">
        <v>1136</v>
      </c>
      <c r="P235" s="818"/>
    </row>
    <row r="236" spans="1:16" ht="7.5" customHeight="1">
      <c r="A236" s="815" t="s">
        <v>1137</v>
      </c>
      <c r="B236" s="816"/>
      <c r="C236" s="816"/>
      <c r="D236" s="815"/>
      <c r="E236" s="464" t="s">
        <v>1138</v>
      </c>
      <c r="F236" s="817" t="s">
        <v>1139</v>
      </c>
      <c r="G236" s="818"/>
      <c r="H236" s="819"/>
      <c r="I236" s="817" t="s">
        <v>1140</v>
      </c>
      <c r="J236" s="818"/>
      <c r="K236" s="818"/>
      <c r="L236" s="818"/>
      <c r="M236" s="818"/>
      <c r="N236" s="819"/>
      <c r="O236" s="820" t="s">
        <v>1141</v>
      </c>
      <c r="P236" s="818"/>
    </row>
    <row r="237" spans="1:16" ht="8.25" customHeight="1">
      <c r="A237" s="815" t="s">
        <v>1142</v>
      </c>
      <c r="B237" s="816"/>
      <c r="C237" s="816"/>
      <c r="D237" s="815"/>
      <c r="E237" s="464" t="s">
        <v>1143</v>
      </c>
      <c r="F237" s="817" t="s">
        <v>1144</v>
      </c>
      <c r="G237" s="818"/>
      <c r="H237" s="819"/>
      <c r="I237" s="817" t="s">
        <v>1145</v>
      </c>
      <c r="J237" s="818"/>
      <c r="K237" s="818"/>
      <c r="L237" s="818"/>
      <c r="M237" s="818"/>
      <c r="N237" s="819"/>
      <c r="O237" s="820" t="s">
        <v>1146</v>
      </c>
      <c r="P237" s="818"/>
    </row>
    <row r="238" spans="1:16" ht="8.25" customHeight="1">
      <c r="A238" s="815" t="s">
        <v>1147</v>
      </c>
      <c r="B238" s="816"/>
      <c r="C238" s="816"/>
      <c r="D238" s="815"/>
      <c r="E238" s="464" t="s">
        <v>1148</v>
      </c>
      <c r="F238" s="817" t="s">
        <v>1149</v>
      </c>
      <c r="G238" s="818"/>
      <c r="H238" s="819"/>
      <c r="I238" s="817" t="s">
        <v>1150</v>
      </c>
      <c r="J238" s="818"/>
      <c r="K238" s="818"/>
      <c r="L238" s="818"/>
      <c r="M238" s="818"/>
      <c r="N238" s="819"/>
      <c r="O238" s="820" t="s">
        <v>1151</v>
      </c>
      <c r="P238" s="818"/>
    </row>
    <row r="239" spans="1:16" ht="8.25" customHeight="1">
      <c r="A239" s="815" t="s">
        <v>1152</v>
      </c>
      <c r="B239" s="816"/>
      <c r="C239" s="816"/>
      <c r="D239" s="815"/>
      <c r="E239" s="464" t="s">
        <v>1153</v>
      </c>
      <c r="F239" s="817" t="s">
        <v>1154</v>
      </c>
      <c r="G239" s="818"/>
      <c r="H239" s="819"/>
      <c r="I239" s="817" t="s">
        <v>1155</v>
      </c>
      <c r="J239" s="818"/>
      <c r="K239" s="818"/>
      <c r="L239" s="818"/>
      <c r="M239" s="818"/>
      <c r="N239" s="819"/>
      <c r="O239" s="820" t="s">
        <v>1156</v>
      </c>
      <c r="P239" s="818"/>
    </row>
    <row r="240" spans="1:16" ht="8.25" customHeight="1">
      <c r="A240" s="808" t="s">
        <v>1157</v>
      </c>
      <c r="B240" s="809"/>
      <c r="C240" s="809"/>
      <c r="D240" s="808"/>
      <c r="E240" s="465">
        <v>0</v>
      </c>
      <c r="F240" s="810">
        <v>0</v>
      </c>
      <c r="G240" s="811"/>
      <c r="H240" s="812"/>
      <c r="I240" s="810">
        <v>0</v>
      </c>
      <c r="J240" s="811"/>
      <c r="K240" s="811"/>
      <c r="L240" s="811"/>
      <c r="M240" s="811"/>
      <c r="N240" s="812"/>
      <c r="O240" s="813" t="s">
        <v>1156</v>
      </c>
      <c r="P240" s="811"/>
    </row>
    <row r="241" spans="1:16" ht="4.5" customHeight="1">
      <c r="A241" s="814"/>
      <c r="B241" s="814"/>
      <c r="C241" s="814"/>
      <c r="D241" s="814"/>
      <c r="E241" s="814"/>
      <c r="F241" s="814"/>
      <c r="G241" s="814"/>
      <c r="H241" s="814"/>
      <c r="I241" s="814"/>
      <c r="J241" s="814"/>
      <c r="K241" s="814"/>
      <c r="L241" s="814"/>
      <c r="M241" s="814"/>
      <c r="N241" s="814"/>
      <c r="O241" s="814"/>
      <c r="P241" s="814"/>
    </row>
    <row r="242" s="466" customFormat="1" ht="13.5" customHeight="1"/>
    <row r="243" spans="1:16" ht="43.5" customHeight="1">
      <c r="A243" s="807" t="s">
        <v>1158</v>
      </c>
      <c r="B243" s="807"/>
      <c r="C243" s="807"/>
      <c r="D243" s="807"/>
      <c r="E243" s="807"/>
      <c r="F243" s="807"/>
      <c r="G243" s="807"/>
      <c r="H243" s="807"/>
      <c r="I243" s="807"/>
      <c r="J243" s="807"/>
      <c r="K243" s="807"/>
      <c r="L243" s="807"/>
      <c r="M243" s="807"/>
      <c r="N243" s="807"/>
      <c r="O243" s="807"/>
      <c r="P243" s="807"/>
    </row>
    <row r="244" ht="5.25" customHeight="1"/>
    <row r="245" ht="11.25" customHeight="1"/>
    <row r="246" ht="16.5" customHeight="1"/>
    <row r="247" ht="11.25" customHeight="1"/>
  </sheetData>
  <sheetProtection/>
  <mergeCells count="660">
    <mergeCell ref="A161:P161"/>
    <mergeCell ref="A138:P138"/>
    <mergeCell ref="A139:Q139"/>
    <mergeCell ref="A141:I141"/>
    <mergeCell ref="J141:M141"/>
    <mergeCell ref="A144:I144"/>
    <mergeCell ref="A159:P159"/>
    <mergeCell ref="N141:O141"/>
    <mergeCell ref="B142:I142"/>
    <mergeCell ref="J142:M142"/>
    <mergeCell ref="H8:P8"/>
    <mergeCell ref="A9:P9"/>
    <mergeCell ref="C25:I25"/>
    <mergeCell ref="D20:I20"/>
    <mergeCell ref="D28:I28"/>
    <mergeCell ref="C13:I13"/>
    <mergeCell ref="A8:F8"/>
    <mergeCell ref="A10:P10"/>
    <mergeCell ref="A11:I11"/>
    <mergeCell ref="J11:M11"/>
    <mergeCell ref="N1:P1"/>
    <mergeCell ref="A3:P3"/>
    <mergeCell ref="A4:P4"/>
    <mergeCell ref="A5:P5"/>
    <mergeCell ref="A6:P6"/>
    <mergeCell ref="A7:P7"/>
    <mergeCell ref="N11:O11"/>
    <mergeCell ref="B12:I12"/>
    <mergeCell ref="J12:M12"/>
    <mergeCell ref="N12:O12"/>
    <mergeCell ref="J13:M13"/>
    <mergeCell ref="N13:O13"/>
    <mergeCell ref="D14:I14"/>
    <mergeCell ref="J14:M14"/>
    <mergeCell ref="N14:O14"/>
    <mergeCell ref="D15:I15"/>
    <mergeCell ref="J15:M15"/>
    <mergeCell ref="N15:O15"/>
    <mergeCell ref="D16:I16"/>
    <mergeCell ref="J16:M16"/>
    <mergeCell ref="N16:O16"/>
    <mergeCell ref="C17:I17"/>
    <mergeCell ref="J17:M17"/>
    <mergeCell ref="N17:O17"/>
    <mergeCell ref="D18:I18"/>
    <mergeCell ref="J18:M18"/>
    <mergeCell ref="N18:O18"/>
    <mergeCell ref="D19:I19"/>
    <mergeCell ref="J19:M19"/>
    <mergeCell ref="N19:O19"/>
    <mergeCell ref="J20:M20"/>
    <mergeCell ref="N20:O20"/>
    <mergeCell ref="C21:I21"/>
    <mergeCell ref="J21:M21"/>
    <mergeCell ref="N21:O21"/>
    <mergeCell ref="D22:I22"/>
    <mergeCell ref="J22:M22"/>
    <mergeCell ref="N22:O22"/>
    <mergeCell ref="D23:I23"/>
    <mergeCell ref="J23:M23"/>
    <mergeCell ref="N23:O23"/>
    <mergeCell ref="D24:I24"/>
    <mergeCell ref="J24:M24"/>
    <mergeCell ref="N24:O24"/>
    <mergeCell ref="J25:M25"/>
    <mergeCell ref="N25:O25"/>
    <mergeCell ref="C26:I26"/>
    <mergeCell ref="J26:M26"/>
    <mergeCell ref="N26:O26"/>
    <mergeCell ref="D27:I27"/>
    <mergeCell ref="J27:M27"/>
    <mergeCell ref="N27:O27"/>
    <mergeCell ref="J28:M28"/>
    <mergeCell ref="N28:O28"/>
    <mergeCell ref="D29:I29"/>
    <mergeCell ref="J29:M29"/>
    <mergeCell ref="N29:O29"/>
    <mergeCell ref="B30:I30"/>
    <mergeCell ref="J30:M30"/>
    <mergeCell ref="N30:O30"/>
    <mergeCell ref="C31:I31"/>
    <mergeCell ref="J31:M31"/>
    <mergeCell ref="N31:O31"/>
    <mergeCell ref="C32:I32"/>
    <mergeCell ref="J32:M32"/>
    <mergeCell ref="N32:O32"/>
    <mergeCell ref="C33:I33"/>
    <mergeCell ref="J33:M33"/>
    <mergeCell ref="N33:O33"/>
    <mergeCell ref="A34:I34"/>
    <mergeCell ref="J34:M34"/>
    <mergeCell ref="N34:O34"/>
    <mergeCell ref="A36:I36"/>
    <mergeCell ref="J36:M36"/>
    <mergeCell ref="N36:O36"/>
    <mergeCell ref="B37:I37"/>
    <mergeCell ref="J37:M37"/>
    <mergeCell ref="N37:O37"/>
    <mergeCell ref="C38:I38"/>
    <mergeCell ref="J38:M38"/>
    <mergeCell ref="N38:O38"/>
    <mergeCell ref="C39:I39"/>
    <mergeCell ref="J39:M39"/>
    <mergeCell ref="N39:O39"/>
    <mergeCell ref="B40:I40"/>
    <mergeCell ref="J40:M40"/>
    <mergeCell ref="N40:O40"/>
    <mergeCell ref="C41:I41"/>
    <mergeCell ref="J41:M41"/>
    <mergeCell ref="N41:O41"/>
    <mergeCell ref="C42:I42"/>
    <mergeCell ref="J42:M42"/>
    <mergeCell ref="N42:O42"/>
    <mergeCell ref="A43:I43"/>
    <mergeCell ref="J43:M43"/>
    <mergeCell ref="N43:O43"/>
    <mergeCell ref="A45:I45"/>
    <mergeCell ref="J45:M45"/>
    <mergeCell ref="N45:O45"/>
    <mergeCell ref="A47:I47"/>
    <mergeCell ref="J47:M47"/>
    <mergeCell ref="N47:O47"/>
    <mergeCell ref="A48:I48"/>
    <mergeCell ref="J48:M48"/>
    <mergeCell ref="N48:O48"/>
    <mergeCell ref="A50:I50"/>
    <mergeCell ref="J50:M50"/>
    <mergeCell ref="N50:O50"/>
    <mergeCell ref="A51:I51"/>
    <mergeCell ref="J51:M51"/>
    <mergeCell ref="N51:O51"/>
    <mergeCell ref="A54:I54"/>
    <mergeCell ref="J54:M54"/>
    <mergeCell ref="N54:O54"/>
    <mergeCell ref="B55:I55"/>
    <mergeCell ref="J55:M55"/>
    <mergeCell ref="N55:O55"/>
    <mergeCell ref="B56:I56"/>
    <mergeCell ref="J56:M56"/>
    <mergeCell ref="N56:O56"/>
    <mergeCell ref="J57:M57"/>
    <mergeCell ref="N57:O57"/>
    <mergeCell ref="B58:I58"/>
    <mergeCell ref="J58:M58"/>
    <mergeCell ref="N58:O58"/>
    <mergeCell ref="A59:P59"/>
    <mergeCell ref="B57:I57"/>
    <mergeCell ref="J60:M60"/>
    <mergeCell ref="N60:O60"/>
    <mergeCell ref="B61:I61"/>
    <mergeCell ref="J61:M61"/>
    <mergeCell ref="N61:O61"/>
    <mergeCell ref="B62:I62"/>
    <mergeCell ref="J62:M62"/>
    <mergeCell ref="N62:O62"/>
    <mergeCell ref="A60:I60"/>
    <mergeCell ref="J63:M63"/>
    <mergeCell ref="N63:O63"/>
    <mergeCell ref="A64:P64"/>
    <mergeCell ref="A69:P69"/>
    <mergeCell ref="N70:P70"/>
    <mergeCell ref="A72:P72"/>
    <mergeCell ref="B63:I63"/>
    <mergeCell ref="J74:M74"/>
    <mergeCell ref="N74:O74"/>
    <mergeCell ref="B75:I75"/>
    <mergeCell ref="J75:M75"/>
    <mergeCell ref="N75:O75"/>
    <mergeCell ref="C76:I76"/>
    <mergeCell ref="J76:M76"/>
    <mergeCell ref="N76:O76"/>
    <mergeCell ref="A74:I74"/>
    <mergeCell ref="J77:M77"/>
    <mergeCell ref="N77:O77"/>
    <mergeCell ref="D78:I78"/>
    <mergeCell ref="J78:M78"/>
    <mergeCell ref="N78:O78"/>
    <mergeCell ref="D79:I79"/>
    <mergeCell ref="J79:M79"/>
    <mergeCell ref="N79:O79"/>
    <mergeCell ref="D77:I77"/>
    <mergeCell ref="J80:M80"/>
    <mergeCell ref="N80:O80"/>
    <mergeCell ref="D81:I81"/>
    <mergeCell ref="J81:M81"/>
    <mergeCell ref="N81:O81"/>
    <mergeCell ref="D82:I82"/>
    <mergeCell ref="J82:M82"/>
    <mergeCell ref="N82:O82"/>
    <mergeCell ref="C80:I80"/>
    <mergeCell ref="J83:M83"/>
    <mergeCell ref="N83:O83"/>
    <mergeCell ref="C84:I84"/>
    <mergeCell ref="J84:M84"/>
    <mergeCell ref="N84:O84"/>
    <mergeCell ref="D85:I85"/>
    <mergeCell ref="J85:M85"/>
    <mergeCell ref="N85:O85"/>
    <mergeCell ref="D83:I83"/>
    <mergeCell ref="J86:M86"/>
    <mergeCell ref="N86:O86"/>
    <mergeCell ref="D87:I87"/>
    <mergeCell ref="J87:M87"/>
    <mergeCell ref="N87:O87"/>
    <mergeCell ref="C88:I88"/>
    <mergeCell ref="J88:M88"/>
    <mergeCell ref="N88:O88"/>
    <mergeCell ref="D86:I86"/>
    <mergeCell ref="C89:I89"/>
    <mergeCell ref="J89:M89"/>
    <mergeCell ref="N89:O89"/>
    <mergeCell ref="D90:I90"/>
    <mergeCell ref="J90:M90"/>
    <mergeCell ref="N90:O90"/>
    <mergeCell ref="D91:I91"/>
    <mergeCell ref="J91:M91"/>
    <mergeCell ref="N91:O91"/>
    <mergeCell ref="B92:I92"/>
    <mergeCell ref="J92:M92"/>
    <mergeCell ref="N92:O92"/>
    <mergeCell ref="C93:I93"/>
    <mergeCell ref="J93:M93"/>
    <mergeCell ref="N93:O93"/>
    <mergeCell ref="C94:I94"/>
    <mergeCell ref="J94:M94"/>
    <mergeCell ref="N94:O94"/>
    <mergeCell ref="C95:I95"/>
    <mergeCell ref="J95:M95"/>
    <mergeCell ref="N95:O95"/>
    <mergeCell ref="A96:I96"/>
    <mergeCell ref="J96:M96"/>
    <mergeCell ref="N96:O96"/>
    <mergeCell ref="A98:I98"/>
    <mergeCell ref="J98:M98"/>
    <mergeCell ref="N98:O98"/>
    <mergeCell ref="B99:I99"/>
    <mergeCell ref="J99:M99"/>
    <mergeCell ref="N99:O99"/>
    <mergeCell ref="C100:I100"/>
    <mergeCell ref="J100:M100"/>
    <mergeCell ref="N100:O100"/>
    <mergeCell ref="C101:I101"/>
    <mergeCell ref="J101:M101"/>
    <mergeCell ref="N101:O101"/>
    <mergeCell ref="B102:I102"/>
    <mergeCell ref="J102:M102"/>
    <mergeCell ref="N102:O102"/>
    <mergeCell ref="C103:I103"/>
    <mergeCell ref="J103:M103"/>
    <mergeCell ref="N103:O103"/>
    <mergeCell ref="C104:I104"/>
    <mergeCell ref="J104:M104"/>
    <mergeCell ref="N104:O104"/>
    <mergeCell ref="A105:I105"/>
    <mergeCell ref="J105:M105"/>
    <mergeCell ref="N105:O105"/>
    <mergeCell ref="A107:I107"/>
    <mergeCell ref="J107:M107"/>
    <mergeCell ref="N107:O107"/>
    <mergeCell ref="A109:I109"/>
    <mergeCell ref="J109:M109"/>
    <mergeCell ref="N109:O109"/>
    <mergeCell ref="B110:I110"/>
    <mergeCell ref="J110:M110"/>
    <mergeCell ref="N110:O110"/>
    <mergeCell ref="B111:I111"/>
    <mergeCell ref="J111:M111"/>
    <mergeCell ref="N111:O111"/>
    <mergeCell ref="A112:I112"/>
    <mergeCell ref="J112:M112"/>
    <mergeCell ref="N112:O112"/>
    <mergeCell ref="B113:I113"/>
    <mergeCell ref="J113:M113"/>
    <mergeCell ref="N113:O113"/>
    <mergeCell ref="B114:I114"/>
    <mergeCell ref="J114:M114"/>
    <mergeCell ref="N114:O114"/>
    <mergeCell ref="B115:I115"/>
    <mergeCell ref="J115:M115"/>
    <mergeCell ref="N115:O115"/>
    <mergeCell ref="A116:P116"/>
    <mergeCell ref="A117:Q117"/>
    <mergeCell ref="A119:I119"/>
    <mergeCell ref="J119:M119"/>
    <mergeCell ref="N119:O119"/>
    <mergeCell ref="B120:I120"/>
    <mergeCell ref="J120:M120"/>
    <mergeCell ref="N120:O120"/>
    <mergeCell ref="A121:I121"/>
    <mergeCell ref="J121:M121"/>
    <mergeCell ref="N121:O121"/>
    <mergeCell ref="A124:I124"/>
    <mergeCell ref="J124:M124"/>
    <mergeCell ref="N124:O124"/>
    <mergeCell ref="B125:I125"/>
    <mergeCell ref="J125:M125"/>
    <mergeCell ref="N125:O125"/>
    <mergeCell ref="C126:I126"/>
    <mergeCell ref="J126:M126"/>
    <mergeCell ref="N126:O126"/>
    <mergeCell ref="J127:M127"/>
    <mergeCell ref="N127:O127"/>
    <mergeCell ref="B128:I128"/>
    <mergeCell ref="J128:M128"/>
    <mergeCell ref="N128:O128"/>
    <mergeCell ref="A129:I129"/>
    <mergeCell ref="J129:M129"/>
    <mergeCell ref="N129:O129"/>
    <mergeCell ref="C127:I127"/>
    <mergeCell ref="J131:M131"/>
    <mergeCell ref="N131:O131"/>
    <mergeCell ref="A133:P133"/>
    <mergeCell ref="A134:I134"/>
    <mergeCell ref="J134:M134"/>
    <mergeCell ref="N134:O134"/>
    <mergeCell ref="A131:I131"/>
    <mergeCell ref="J135:M135"/>
    <mergeCell ref="N135:O135"/>
    <mergeCell ref="B136:I136"/>
    <mergeCell ref="J136:M136"/>
    <mergeCell ref="N136:O136"/>
    <mergeCell ref="B137:I137"/>
    <mergeCell ref="J137:M137"/>
    <mergeCell ref="N137:O137"/>
    <mergeCell ref="B135:I135"/>
    <mergeCell ref="N142:O142"/>
    <mergeCell ref="B143:I143"/>
    <mergeCell ref="J143:M143"/>
    <mergeCell ref="N143:O143"/>
    <mergeCell ref="J144:M144"/>
    <mergeCell ref="N144:O144"/>
    <mergeCell ref="A147:I147"/>
    <mergeCell ref="J147:M147"/>
    <mergeCell ref="N147:O147"/>
    <mergeCell ref="B148:I148"/>
    <mergeCell ref="J148:M148"/>
    <mergeCell ref="N148:O148"/>
    <mergeCell ref="B149:I149"/>
    <mergeCell ref="J149:M149"/>
    <mergeCell ref="N149:O149"/>
    <mergeCell ref="B150:I150"/>
    <mergeCell ref="J150:M150"/>
    <mergeCell ref="N150:O150"/>
    <mergeCell ref="A151:I151"/>
    <mergeCell ref="J151:M151"/>
    <mergeCell ref="N151:O151"/>
    <mergeCell ref="A153:I153"/>
    <mergeCell ref="J153:M153"/>
    <mergeCell ref="N153:O153"/>
    <mergeCell ref="A163:P163"/>
    <mergeCell ref="A164:D164"/>
    <mergeCell ref="F164:H164"/>
    <mergeCell ref="I164:N164"/>
    <mergeCell ref="O164:P164"/>
    <mergeCell ref="A165:D165"/>
    <mergeCell ref="F165:H165"/>
    <mergeCell ref="I165:N165"/>
    <mergeCell ref="O165:P165"/>
    <mergeCell ref="A166:D166"/>
    <mergeCell ref="F166:H166"/>
    <mergeCell ref="I166:N166"/>
    <mergeCell ref="O166:P166"/>
    <mergeCell ref="A167:D167"/>
    <mergeCell ref="F167:H167"/>
    <mergeCell ref="I167:N167"/>
    <mergeCell ref="O167:P167"/>
    <mergeCell ref="A168:D168"/>
    <mergeCell ref="F168:H168"/>
    <mergeCell ref="I168:N168"/>
    <mergeCell ref="O168:P168"/>
    <mergeCell ref="A169:D169"/>
    <mergeCell ref="F169:H169"/>
    <mergeCell ref="I169:N169"/>
    <mergeCell ref="O169:P169"/>
    <mergeCell ref="A170:D170"/>
    <mergeCell ref="F170:H170"/>
    <mergeCell ref="I170:N170"/>
    <mergeCell ref="O170:P170"/>
    <mergeCell ref="A171:D171"/>
    <mergeCell ref="F171:H171"/>
    <mergeCell ref="I171:N171"/>
    <mergeCell ref="O171:P171"/>
    <mergeCell ref="A172:D172"/>
    <mergeCell ref="F172:H172"/>
    <mergeCell ref="I172:N172"/>
    <mergeCell ref="O172:P172"/>
    <mergeCell ref="A173:D173"/>
    <mergeCell ref="F173:H173"/>
    <mergeCell ref="I173:N173"/>
    <mergeCell ref="O173:P173"/>
    <mergeCell ref="A174:D174"/>
    <mergeCell ref="F174:H174"/>
    <mergeCell ref="I174:N174"/>
    <mergeCell ref="O174:P174"/>
    <mergeCell ref="A175:D175"/>
    <mergeCell ref="F175:H175"/>
    <mergeCell ref="I175:N175"/>
    <mergeCell ref="O175:P175"/>
    <mergeCell ref="A176:D176"/>
    <mergeCell ref="F176:H176"/>
    <mergeCell ref="I176:N176"/>
    <mergeCell ref="O176:P176"/>
    <mergeCell ref="A177:D177"/>
    <mergeCell ref="F177:H177"/>
    <mergeCell ref="I177:N177"/>
    <mergeCell ref="O177:P177"/>
    <mergeCell ref="A178:D178"/>
    <mergeCell ref="F178:H178"/>
    <mergeCell ref="I178:N178"/>
    <mergeCell ref="O178:P178"/>
    <mergeCell ref="A179:D179"/>
    <mergeCell ref="F179:H179"/>
    <mergeCell ref="I179:N179"/>
    <mergeCell ref="O179:P179"/>
    <mergeCell ref="A180:D180"/>
    <mergeCell ref="F180:H180"/>
    <mergeCell ref="I180:N180"/>
    <mergeCell ref="O180:P180"/>
    <mergeCell ref="A181:D181"/>
    <mergeCell ref="F181:H181"/>
    <mergeCell ref="I181:N181"/>
    <mergeCell ref="O181:P181"/>
    <mergeCell ref="A182:D182"/>
    <mergeCell ref="F182:H182"/>
    <mergeCell ref="I182:N182"/>
    <mergeCell ref="O182:P182"/>
    <mergeCell ref="A183:D183"/>
    <mergeCell ref="F183:H183"/>
    <mergeCell ref="I183:N183"/>
    <mergeCell ref="O183:P183"/>
    <mergeCell ref="A184:D184"/>
    <mergeCell ref="F184:H184"/>
    <mergeCell ref="I184:N184"/>
    <mergeCell ref="O184:P184"/>
    <mergeCell ref="A185:D185"/>
    <mergeCell ref="F185:H185"/>
    <mergeCell ref="I185:N185"/>
    <mergeCell ref="O185:P185"/>
    <mergeCell ref="A186:D186"/>
    <mergeCell ref="F186:H186"/>
    <mergeCell ref="I186:N186"/>
    <mergeCell ref="O186:P186"/>
    <mergeCell ref="A187:D187"/>
    <mergeCell ref="F187:H187"/>
    <mergeCell ref="I187:N187"/>
    <mergeCell ref="O187:P187"/>
    <mergeCell ref="A188:D188"/>
    <mergeCell ref="F188:H188"/>
    <mergeCell ref="I188:N188"/>
    <mergeCell ref="O188:P188"/>
    <mergeCell ref="A189:D189"/>
    <mergeCell ref="F189:H189"/>
    <mergeCell ref="I189:N189"/>
    <mergeCell ref="O189:P189"/>
    <mergeCell ref="A190:D190"/>
    <mergeCell ref="F190:H190"/>
    <mergeCell ref="I190:N190"/>
    <mergeCell ref="O190:P190"/>
    <mergeCell ref="A191:D191"/>
    <mergeCell ref="F191:H191"/>
    <mergeCell ref="I191:N191"/>
    <mergeCell ref="O191:P191"/>
    <mergeCell ref="A192:D192"/>
    <mergeCell ref="F192:H192"/>
    <mergeCell ref="I192:N192"/>
    <mergeCell ref="O192:P192"/>
    <mergeCell ref="A193:D193"/>
    <mergeCell ref="F193:H193"/>
    <mergeCell ref="I193:N193"/>
    <mergeCell ref="O193:P193"/>
    <mergeCell ref="A194:D194"/>
    <mergeCell ref="F194:H194"/>
    <mergeCell ref="I194:N194"/>
    <mergeCell ref="O194:P194"/>
    <mergeCell ref="A195:D195"/>
    <mergeCell ref="F195:H195"/>
    <mergeCell ref="I195:N195"/>
    <mergeCell ref="O195:P195"/>
    <mergeCell ref="A196:D196"/>
    <mergeCell ref="F196:H196"/>
    <mergeCell ref="I196:N196"/>
    <mergeCell ref="O196:P196"/>
    <mergeCell ref="A197:D197"/>
    <mergeCell ref="F197:H197"/>
    <mergeCell ref="I197:N197"/>
    <mergeCell ref="O197:P197"/>
    <mergeCell ref="A198:D198"/>
    <mergeCell ref="F198:H198"/>
    <mergeCell ref="I198:N198"/>
    <mergeCell ref="O198:P198"/>
    <mergeCell ref="A199:D199"/>
    <mergeCell ref="F199:H199"/>
    <mergeCell ref="I199:N199"/>
    <mergeCell ref="O199:P199"/>
    <mergeCell ref="A200:D200"/>
    <mergeCell ref="F200:H200"/>
    <mergeCell ref="I200:N200"/>
    <mergeCell ref="O200:P200"/>
    <mergeCell ref="A201:D201"/>
    <mergeCell ref="F201:H201"/>
    <mergeCell ref="I201:N201"/>
    <mergeCell ref="O201:P201"/>
    <mergeCell ref="A202:D202"/>
    <mergeCell ref="F202:H202"/>
    <mergeCell ref="I202:N202"/>
    <mergeCell ref="O202:P202"/>
    <mergeCell ref="A203:D203"/>
    <mergeCell ref="F203:H203"/>
    <mergeCell ref="I203:N203"/>
    <mergeCell ref="O203:P203"/>
    <mergeCell ref="A204:D204"/>
    <mergeCell ref="F204:H204"/>
    <mergeCell ref="I204:N204"/>
    <mergeCell ref="O204:P204"/>
    <mergeCell ref="A205:D205"/>
    <mergeCell ref="F205:H205"/>
    <mergeCell ref="I205:N205"/>
    <mergeCell ref="O205:P205"/>
    <mergeCell ref="A206:D206"/>
    <mergeCell ref="F206:H206"/>
    <mergeCell ref="I206:N206"/>
    <mergeCell ref="O206:P206"/>
    <mergeCell ref="A207:D207"/>
    <mergeCell ref="F207:H207"/>
    <mergeCell ref="I207:N207"/>
    <mergeCell ref="O207:P207"/>
    <mergeCell ref="A208:D208"/>
    <mergeCell ref="F208:H208"/>
    <mergeCell ref="I208:N208"/>
    <mergeCell ref="O208:P208"/>
    <mergeCell ref="A209:D209"/>
    <mergeCell ref="F209:H209"/>
    <mergeCell ref="I209:N209"/>
    <mergeCell ref="O209:P209"/>
    <mergeCell ref="A210:D210"/>
    <mergeCell ref="F210:H210"/>
    <mergeCell ref="I210:N210"/>
    <mergeCell ref="O210:P210"/>
    <mergeCell ref="A211:D211"/>
    <mergeCell ref="F211:H211"/>
    <mergeCell ref="I211:N211"/>
    <mergeCell ref="O211:P211"/>
    <mergeCell ref="A212:D212"/>
    <mergeCell ref="F212:H212"/>
    <mergeCell ref="I212:N212"/>
    <mergeCell ref="O212:P212"/>
    <mergeCell ref="A213:D213"/>
    <mergeCell ref="F213:H213"/>
    <mergeCell ref="I213:N213"/>
    <mergeCell ref="O213:P213"/>
    <mergeCell ref="A214:D214"/>
    <mergeCell ref="F214:H214"/>
    <mergeCell ref="I214:N214"/>
    <mergeCell ref="O214:P214"/>
    <mergeCell ref="A215:D215"/>
    <mergeCell ref="F215:H215"/>
    <mergeCell ref="I215:N215"/>
    <mergeCell ref="O215:P215"/>
    <mergeCell ref="A216:D216"/>
    <mergeCell ref="F216:H216"/>
    <mergeCell ref="I216:N216"/>
    <mergeCell ref="O216:P216"/>
    <mergeCell ref="A217:D217"/>
    <mergeCell ref="F217:H217"/>
    <mergeCell ref="I217:N217"/>
    <mergeCell ref="O217:P217"/>
    <mergeCell ref="A218:D218"/>
    <mergeCell ref="F218:H218"/>
    <mergeCell ref="I218:N218"/>
    <mergeCell ref="O218:P218"/>
    <mergeCell ref="A219:D219"/>
    <mergeCell ref="F219:H219"/>
    <mergeCell ref="I219:N219"/>
    <mergeCell ref="O219:P219"/>
    <mergeCell ref="A220:D220"/>
    <mergeCell ref="F220:H220"/>
    <mergeCell ref="I220:N220"/>
    <mergeCell ref="O220:P220"/>
    <mergeCell ref="A221:D221"/>
    <mergeCell ref="F221:H221"/>
    <mergeCell ref="I221:N221"/>
    <mergeCell ref="O221:P221"/>
    <mergeCell ref="A222:D222"/>
    <mergeCell ref="F222:H222"/>
    <mergeCell ref="I222:N222"/>
    <mergeCell ref="O222:P222"/>
    <mergeCell ref="A223:D223"/>
    <mergeCell ref="F223:H223"/>
    <mergeCell ref="I223:N223"/>
    <mergeCell ref="O223:P223"/>
    <mergeCell ref="A224:D224"/>
    <mergeCell ref="F224:H224"/>
    <mergeCell ref="I224:N224"/>
    <mergeCell ref="O224:P224"/>
    <mergeCell ref="A225:D225"/>
    <mergeCell ref="F225:H225"/>
    <mergeCell ref="I225:N225"/>
    <mergeCell ref="O225:P225"/>
    <mergeCell ref="A226:D226"/>
    <mergeCell ref="F226:H226"/>
    <mergeCell ref="I226:N226"/>
    <mergeCell ref="O226:P226"/>
    <mergeCell ref="A227:D227"/>
    <mergeCell ref="F227:H227"/>
    <mergeCell ref="I227:N227"/>
    <mergeCell ref="O227:P227"/>
    <mergeCell ref="A228:D228"/>
    <mergeCell ref="F228:H228"/>
    <mergeCell ref="I228:N228"/>
    <mergeCell ref="O228:P228"/>
    <mergeCell ref="A229:D229"/>
    <mergeCell ref="F229:H229"/>
    <mergeCell ref="I229:N229"/>
    <mergeCell ref="O229:P229"/>
    <mergeCell ref="A230:D230"/>
    <mergeCell ref="F230:H230"/>
    <mergeCell ref="I230:N230"/>
    <mergeCell ref="O230:P230"/>
    <mergeCell ref="A231:D231"/>
    <mergeCell ref="F231:H231"/>
    <mergeCell ref="I231:N231"/>
    <mergeCell ref="O231:P231"/>
    <mergeCell ref="A232:D232"/>
    <mergeCell ref="F232:H232"/>
    <mergeCell ref="I232:N232"/>
    <mergeCell ref="O232:P232"/>
    <mergeCell ref="A233:D233"/>
    <mergeCell ref="F233:H233"/>
    <mergeCell ref="I233:N233"/>
    <mergeCell ref="O233:P233"/>
    <mergeCell ref="A234:D234"/>
    <mergeCell ref="F234:H234"/>
    <mergeCell ref="I234:N234"/>
    <mergeCell ref="O234:P234"/>
    <mergeCell ref="A235:D235"/>
    <mergeCell ref="F235:H235"/>
    <mergeCell ref="I235:N235"/>
    <mergeCell ref="O235:P235"/>
    <mergeCell ref="A236:D236"/>
    <mergeCell ref="F236:H236"/>
    <mergeCell ref="I236:N236"/>
    <mergeCell ref="O236:P236"/>
    <mergeCell ref="A237:D237"/>
    <mergeCell ref="F237:H237"/>
    <mergeCell ref="I237:N237"/>
    <mergeCell ref="O237:P237"/>
    <mergeCell ref="A238:D238"/>
    <mergeCell ref="F238:H238"/>
    <mergeCell ref="I238:N238"/>
    <mergeCell ref="O238:P238"/>
    <mergeCell ref="A239:D239"/>
    <mergeCell ref="F239:H239"/>
    <mergeCell ref="I239:N239"/>
    <mergeCell ref="O239:P239"/>
    <mergeCell ref="A243:P243"/>
    <mergeCell ref="A240:D240"/>
    <mergeCell ref="F240:H240"/>
    <mergeCell ref="I240:N240"/>
    <mergeCell ref="O240:P240"/>
    <mergeCell ref="A241:P241"/>
  </mergeCells>
  <printOptions/>
  <pageMargins left="0.787401575" right="0.787401575" top="0.984251969" bottom="0.984251969" header="0.492125985" footer="0.492125985"/>
  <pageSetup horizontalDpi="300" verticalDpi="300" orientation="portrait" paperSize="9" scale="90" r:id="rId2"/>
  <drawing r:id="rId1"/>
</worksheet>
</file>

<file path=xl/worksheets/sheet15.xml><?xml version="1.0" encoding="utf-8"?>
<worksheet xmlns="http://schemas.openxmlformats.org/spreadsheetml/2006/main" xmlns:r="http://schemas.openxmlformats.org/officeDocument/2006/relationships">
  <sheetPr codeName="Plan17"/>
  <dimension ref="A1:G26"/>
  <sheetViews>
    <sheetView zoomScale="90" zoomScaleNormal="90" zoomScalePageLayoutView="0" workbookViewId="0" topLeftCell="A1">
      <selection activeCell="G56" sqref="A1:G56"/>
    </sheetView>
  </sheetViews>
  <sheetFormatPr defaultColWidth="9.140625" defaultRowHeight="12.75"/>
  <cols>
    <col min="1" max="1" width="22.421875" style="0" customWidth="1"/>
    <col min="2" max="2" width="15.7109375" style="0" customWidth="1"/>
    <col min="3" max="3" width="14.00390625" style="0" customWidth="1"/>
    <col min="4" max="6" width="12.8515625" style="0" customWidth="1"/>
    <col min="7" max="7" width="16.140625" style="0" customWidth="1"/>
  </cols>
  <sheetData>
    <row r="1" spans="1:7" ht="12.75">
      <c r="A1" s="887" t="str">
        <f>Parâmetros!A7</f>
        <v>Município de : Caçapava do Sul / RS.</v>
      </c>
      <c r="B1" s="888"/>
      <c r="C1" s="888"/>
      <c r="D1" s="888"/>
      <c r="E1" s="888"/>
      <c r="F1" s="889"/>
      <c r="G1" s="102"/>
    </row>
    <row r="2" spans="1:7" ht="12.75">
      <c r="A2" s="890" t="s">
        <v>36</v>
      </c>
      <c r="B2" s="891"/>
      <c r="C2" s="891"/>
      <c r="D2" s="891"/>
      <c r="E2" s="891"/>
      <c r="F2" s="892"/>
      <c r="G2" s="11"/>
    </row>
    <row r="3" spans="1:7" ht="12.75">
      <c r="A3" s="893" t="s">
        <v>144</v>
      </c>
      <c r="B3" s="888"/>
      <c r="C3" s="888"/>
      <c r="D3" s="888"/>
      <c r="E3" s="888"/>
      <c r="F3" s="889"/>
      <c r="G3" s="102"/>
    </row>
    <row r="4" spans="1:7" ht="12.75">
      <c r="A4" s="894" t="s">
        <v>409</v>
      </c>
      <c r="B4" s="895"/>
      <c r="C4" s="895"/>
      <c r="D4" s="895"/>
      <c r="E4" s="895"/>
      <c r="F4" s="896"/>
      <c r="G4" s="102"/>
    </row>
    <row r="5" spans="1:7" ht="12.75">
      <c r="A5" s="894" t="s">
        <v>619</v>
      </c>
      <c r="B5" s="891"/>
      <c r="C5" s="891"/>
      <c r="D5" s="891"/>
      <c r="E5" s="891"/>
      <c r="F5" s="892"/>
      <c r="G5" s="11"/>
    </row>
    <row r="6" spans="1:7" ht="12.75">
      <c r="A6" s="893"/>
      <c r="B6" s="888"/>
      <c r="C6" s="888"/>
      <c r="D6" s="888"/>
      <c r="E6" s="888"/>
      <c r="F6" s="889"/>
      <c r="G6" s="102"/>
    </row>
    <row r="7" spans="1:7" s="42" customFormat="1" ht="11.25" customHeight="1">
      <c r="A7" s="182" t="s">
        <v>412</v>
      </c>
      <c r="B7" s="169"/>
      <c r="C7" s="169"/>
      <c r="D7" s="169"/>
      <c r="E7" s="169"/>
      <c r="F7" s="170"/>
      <c r="G7" s="171">
        <v>1</v>
      </c>
    </row>
    <row r="8" spans="1:7" s="43" customFormat="1" ht="11.25" customHeight="1">
      <c r="A8" s="899" t="s">
        <v>145</v>
      </c>
      <c r="B8" s="902" t="s">
        <v>146</v>
      </c>
      <c r="C8" s="882" t="s">
        <v>147</v>
      </c>
      <c r="D8" s="902" t="s">
        <v>99</v>
      </c>
      <c r="E8" s="905"/>
      <c r="F8" s="899"/>
      <c r="G8" s="882" t="s">
        <v>100</v>
      </c>
    </row>
    <row r="9" spans="1:7" s="43" customFormat="1" ht="11.25" customHeight="1">
      <c r="A9" s="900"/>
      <c r="B9" s="903"/>
      <c r="C9" s="883"/>
      <c r="D9" s="904"/>
      <c r="E9" s="906"/>
      <c r="F9" s="901"/>
      <c r="G9" s="883"/>
    </row>
    <row r="10" spans="1:7" s="42" customFormat="1" ht="24" customHeight="1">
      <c r="A10" s="901"/>
      <c r="B10" s="904"/>
      <c r="C10" s="884"/>
      <c r="D10" s="172">
        <f>Parâmetros!E10</f>
        <v>2023</v>
      </c>
      <c r="E10" s="172">
        <f>D10+1</f>
        <v>2024</v>
      </c>
      <c r="F10" s="172">
        <f>E10+1</f>
        <v>2025</v>
      </c>
      <c r="G10" s="884"/>
    </row>
    <row r="11" spans="1:7" s="42" customFormat="1" ht="26.25" customHeight="1">
      <c r="A11" s="173"/>
      <c r="B11" s="173"/>
      <c r="C11" s="173"/>
      <c r="D11" s="174">
        <v>0</v>
      </c>
      <c r="E11" s="175">
        <f>D11*(1+B24)</f>
        <v>0</v>
      </c>
      <c r="F11" s="175">
        <f>E11*(1+B25)</f>
        <v>0</v>
      </c>
      <c r="G11" s="885" t="s">
        <v>149</v>
      </c>
    </row>
    <row r="12" spans="1:7" s="42" customFormat="1" ht="42" customHeight="1">
      <c r="A12" s="173"/>
      <c r="B12" s="173"/>
      <c r="C12" s="173"/>
      <c r="D12" s="174">
        <v>0</v>
      </c>
      <c r="E12" s="175">
        <f>D12*(1+B24)</f>
        <v>0</v>
      </c>
      <c r="F12" s="175">
        <f>E12*(1+B25)</f>
        <v>0</v>
      </c>
      <c r="G12" s="886"/>
    </row>
    <row r="13" spans="1:7" s="42" customFormat="1" ht="45.75" customHeight="1">
      <c r="A13" s="173"/>
      <c r="B13" s="173"/>
      <c r="C13" s="173"/>
      <c r="D13" s="174">
        <v>0</v>
      </c>
      <c r="E13" s="175">
        <f>D13*(1+B24)</f>
        <v>0</v>
      </c>
      <c r="F13" s="175">
        <f>E13*(1+B25)</f>
        <v>0</v>
      </c>
      <c r="G13" s="176" t="s">
        <v>150</v>
      </c>
    </row>
    <row r="14" spans="1:7" s="42" customFormat="1" ht="11.25" customHeight="1">
      <c r="A14" s="173"/>
      <c r="B14" s="173"/>
      <c r="C14" s="173"/>
      <c r="D14" s="174"/>
      <c r="E14" s="175">
        <f>D14*(1+B24)</f>
        <v>0</v>
      </c>
      <c r="F14" s="175">
        <f>E14*(1+B25)</f>
        <v>0</v>
      </c>
      <c r="G14" s="176"/>
    </row>
    <row r="15" spans="1:7" s="42" customFormat="1" ht="11.25" customHeight="1">
      <c r="A15" s="173"/>
      <c r="B15" s="173"/>
      <c r="C15" s="173"/>
      <c r="D15" s="174"/>
      <c r="E15" s="175">
        <f>D15*(1+B24)</f>
        <v>0</v>
      </c>
      <c r="F15" s="175">
        <f>E15*(1+B25)</f>
        <v>0</v>
      </c>
      <c r="G15" s="176"/>
    </row>
    <row r="16" spans="1:7" s="42" customFormat="1" ht="11.25" customHeight="1">
      <c r="A16" s="173"/>
      <c r="B16" s="173"/>
      <c r="C16" s="173"/>
      <c r="D16" s="174"/>
      <c r="E16" s="175">
        <f>D16*(1+B24)</f>
        <v>0</v>
      </c>
      <c r="F16" s="175">
        <f>E16*(1+B25)</f>
        <v>0</v>
      </c>
      <c r="G16" s="176"/>
    </row>
    <row r="17" spans="1:7" s="42" customFormat="1" ht="11.25" customHeight="1">
      <c r="A17" s="177"/>
      <c r="B17" s="177"/>
      <c r="C17" s="177"/>
      <c r="D17" s="178"/>
      <c r="E17" s="175">
        <f>D17*(1+B24)</f>
        <v>0</v>
      </c>
      <c r="F17" s="175">
        <f>E17*(1+B25)</f>
        <v>0</v>
      </c>
      <c r="G17" s="179"/>
    </row>
    <row r="18" spans="1:7" s="42" customFormat="1" ht="11.25" customHeight="1">
      <c r="A18" s="897" t="s">
        <v>85</v>
      </c>
      <c r="B18" s="897"/>
      <c r="C18" s="898"/>
      <c r="D18" s="180">
        <f>SUM(D11:D17)</f>
        <v>0</v>
      </c>
      <c r="E18" s="180">
        <f>SUM(E11:E17)</f>
        <v>0</v>
      </c>
      <c r="F18" s="180">
        <f>SUM(F11:F17)</f>
        <v>0</v>
      </c>
      <c r="G18" s="181" t="s">
        <v>148</v>
      </c>
    </row>
    <row r="19" spans="1:7" s="42" customFormat="1" ht="11.25" customHeight="1">
      <c r="A19" s="77" t="s">
        <v>187</v>
      </c>
      <c r="B19" s="45"/>
      <c r="C19" s="45"/>
      <c r="D19" s="45"/>
      <c r="E19" s="45"/>
      <c r="F19" s="45"/>
      <c r="G19" s="45"/>
    </row>
    <row r="20" spans="1:6" ht="12.75">
      <c r="A20" s="11" t="s">
        <v>600</v>
      </c>
      <c r="B20" s="44"/>
      <c r="C20" s="44"/>
      <c r="D20" s="44"/>
      <c r="E20" s="44"/>
      <c r="F20" s="44"/>
    </row>
    <row r="21" ht="12.75">
      <c r="A21" t="s">
        <v>132</v>
      </c>
    </row>
    <row r="22" ht="12.75">
      <c r="A22" s="11" t="s">
        <v>629</v>
      </c>
    </row>
    <row r="23" ht="12.75">
      <c r="A23" t="s">
        <v>135</v>
      </c>
    </row>
    <row r="24" spans="1:2" ht="12.75">
      <c r="A24" s="11" t="s">
        <v>599</v>
      </c>
      <c r="B24" s="39">
        <f>Parâmetros!F11</f>
        <v>0.032</v>
      </c>
    </row>
    <row r="25" spans="1:2" ht="12.75">
      <c r="A25" s="11" t="s">
        <v>628</v>
      </c>
      <c r="B25" s="39">
        <f>Parâmetros!G11</f>
        <v>0.03</v>
      </c>
    </row>
    <row r="26" ht="12.75">
      <c r="B26" s="39"/>
    </row>
  </sheetData>
  <sheetProtection/>
  <mergeCells count="13">
    <mergeCell ref="A18:C18"/>
    <mergeCell ref="A5:F5"/>
    <mergeCell ref="A6:F6"/>
    <mergeCell ref="A8:A10"/>
    <mergeCell ref="B8:B10"/>
    <mergeCell ref="C8:C10"/>
    <mergeCell ref="D8:F9"/>
    <mergeCell ref="G8:G10"/>
    <mergeCell ref="G11:G12"/>
    <mergeCell ref="A1:F1"/>
    <mergeCell ref="A2:F2"/>
    <mergeCell ref="A3:F3"/>
    <mergeCell ref="A4:F4"/>
  </mergeCells>
  <printOptions/>
  <pageMargins left="0.787401575" right="0.787401575" top="0.984251969" bottom="0.984251969" header="0.492125985" footer="0.492125985"/>
  <pageSetup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codeName="Plan18"/>
  <dimension ref="A1:B27"/>
  <sheetViews>
    <sheetView view="pageBreakPreview" zoomScale="60" zoomScaleNormal="90" zoomScalePageLayoutView="0" workbookViewId="0" topLeftCell="A19">
      <selection activeCell="A1" sqref="A1:B1"/>
    </sheetView>
  </sheetViews>
  <sheetFormatPr defaultColWidth="9.140625" defaultRowHeight="12.75"/>
  <cols>
    <col min="1" max="1" width="54.140625" style="441" customWidth="1"/>
    <col min="2" max="2" width="47.57421875" style="441" customWidth="1"/>
    <col min="3" max="16384" width="9.140625" style="441" customWidth="1"/>
  </cols>
  <sheetData>
    <row r="1" spans="1:2" ht="14.25">
      <c r="A1" s="907" t="str">
        <f>Parâmetros!A7</f>
        <v>Município de : Caçapava do Sul / RS.</v>
      </c>
      <c r="B1" s="908"/>
    </row>
    <row r="2" spans="1:2" ht="14.25">
      <c r="A2" s="909" t="s">
        <v>36</v>
      </c>
      <c r="B2" s="908"/>
    </row>
    <row r="3" spans="1:2" ht="14.25">
      <c r="A3" s="909" t="s">
        <v>144</v>
      </c>
      <c r="B3" s="908"/>
    </row>
    <row r="4" spans="1:2" ht="15">
      <c r="A4" s="912" t="s">
        <v>410</v>
      </c>
      <c r="B4" s="913"/>
    </row>
    <row r="5" spans="1:2" ht="14.25">
      <c r="A5" s="909" t="s">
        <v>619</v>
      </c>
      <c r="B5" s="908"/>
    </row>
    <row r="6" spans="1:2" ht="14.25">
      <c r="A6" s="909"/>
      <c r="B6" s="908"/>
    </row>
    <row r="7" spans="1:2" ht="15">
      <c r="A7" s="183" t="s">
        <v>411</v>
      </c>
      <c r="B7" s="184">
        <v>1</v>
      </c>
    </row>
    <row r="8" spans="1:2" s="442" customFormat="1" ht="25.5" customHeight="1">
      <c r="A8" s="164" t="s">
        <v>101</v>
      </c>
      <c r="B8" s="301" t="s">
        <v>630</v>
      </c>
    </row>
    <row r="9" spans="1:2" ht="15">
      <c r="A9" s="185" t="s">
        <v>102</v>
      </c>
      <c r="B9" s="186">
        <f>(B10+B11)</f>
        <v>590463.2467782982</v>
      </c>
    </row>
    <row r="10" spans="1:2" ht="14.25">
      <c r="A10" s="165" t="s">
        <v>128</v>
      </c>
      <c r="B10" s="167">
        <f>(Projeções!H9/(1+Parâmetros!E11))-(Projeções!G9*(1+Parâmetros!D11))</f>
        <v>-28888.034928869456</v>
      </c>
    </row>
    <row r="11" spans="1:2" ht="14.25">
      <c r="A11" s="165" t="s">
        <v>129</v>
      </c>
      <c r="B11" s="167">
        <f>(Projeções!H39/(1+Parâmetros!E11))-(Projeções!G39*(1+Parâmetros!D11))</f>
        <v>619351.2817071676</v>
      </c>
    </row>
    <row r="12" spans="1:2" ht="14.25">
      <c r="A12" s="165" t="s">
        <v>169</v>
      </c>
      <c r="B12" s="167">
        <v>0</v>
      </c>
    </row>
    <row r="13" spans="1:2" ht="14.25">
      <c r="A13" s="166" t="s">
        <v>137</v>
      </c>
      <c r="B13" s="167">
        <f>(Projeções!H106/(1+Parâmetros!E11)-(Projeções!G106*(1+Parâmetros!D11)))</f>
        <v>147298.7661294695</v>
      </c>
    </row>
    <row r="14" spans="1:2" ht="15">
      <c r="A14" s="187" t="s">
        <v>103</v>
      </c>
      <c r="B14" s="188">
        <f>B9+B13</f>
        <v>737762.0129077677</v>
      </c>
    </row>
    <row r="15" spans="1:2" ht="14.25">
      <c r="A15" s="166" t="s">
        <v>104</v>
      </c>
      <c r="B15" s="189">
        <v>0</v>
      </c>
    </row>
    <row r="16" spans="1:2" ht="15">
      <c r="A16" s="166" t="s">
        <v>105</v>
      </c>
      <c r="B16" s="188">
        <f>B14+B15</f>
        <v>737762.0129077677</v>
      </c>
    </row>
    <row r="17" spans="1:2" ht="14.25">
      <c r="A17" s="165" t="s">
        <v>106</v>
      </c>
      <c r="B17" s="167"/>
    </row>
    <row r="18" spans="1:2" ht="15">
      <c r="A18" s="187" t="s">
        <v>166</v>
      </c>
      <c r="B18" s="188">
        <f>B19+B20</f>
        <v>-11015300.118088871</v>
      </c>
    </row>
    <row r="19" spans="1:2" ht="14.25">
      <c r="A19" s="166" t="s">
        <v>130</v>
      </c>
      <c r="B19" s="167">
        <f>Projeções!H119/(1+Parâmetros!E11)-(Projeções!G119*(1+Parâmetros!D11))</f>
        <v>-11909542.200011566</v>
      </c>
    </row>
    <row r="20" spans="1:2" ht="14.25">
      <c r="A20" s="166" t="s">
        <v>131</v>
      </c>
      <c r="B20" s="167">
        <f>Projeções!H131/(1+Parâmetros!E11)-Projeções!G131*(1+Parâmetros!D11)</f>
        <v>894242.081922695</v>
      </c>
    </row>
    <row r="21" spans="1:2" ht="15">
      <c r="A21" s="187" t="s">
        <v>167</v>
      </c>
      <c r="B21" s="190">
        <v>0</v>
      </c>
    </row>
    <row r="22" spans="1:2" ht="21" customHeight="1">
      <c r="A22" s="187" t="s">
        <v>168</v>
      </c>
      <c r="B22" s="191" t="str">
        <f>IF(B16-B17+B18&lt;0,"SEM MARGEM",B16-B17-B18)</f>
        <v>SEM MARGEM</v>
      </c>
    </row>
    <row r="23" spans="1:2" ht="15">
      <c r="A23" s="910" t="s">
        <v>185</v>
      </c>
      <c r="B23" s="911"/>
    </row>
    <row r="24" ht="12.75">
      <c r="A24" s="443"/>
    </row>
    <row r="25" ht="12.75">
      <c r="A25" s="444"/>
    </row>
    <row r="26" ht="12.75">
      <c r="A26" s="444"/>
    </row>
    <row r="27" ht="12.75">
      <c r="A27" s="444"/>
    </row>
  </sheetData>
  <sheetProtection/>
  <mergeCells count="7">
    <mergeCell ref="A1:B1"/>
    <mergeCell ref="A2:B2"/>
    <mergeCell ref="A23:B23"/>
    <mergeCell ref="A3:B3"/>
    <mergeCell ref="A4:B4"/>
    <mergeCell ref="A5:B5"/>
    <mergeCell ref="A6:B6"/>
  </mergeCells>
  <printOptions/>
  <pageMargins left="0.7" right="0.7" top="0.75" bottom="0.75" header="0.3" footer="0.3"/>
  <pageSetup horizontalDpi="300" verticalDpi="300" orientation="portrait" paperSize="9" scale="87" r:id="rId2"/>
  <colBreaks count="1" manualBreakCount="1">
    <brk id="2" max="65535" man="1"/>
  </colBreaks>
  <drawing r:id="rId1"/>
</worksheet>
</file>

<file path=xl/worksheets/sheet17.xml><?xml version="1.0" encoding="utf-8"?>
<worksheet xmlns="http://schemas.openxmlformats.org/spreadsheetml/2006/main" xmlns:r="http://schemas.openxmlformats.org/officeDocument/2006/relationships">
  <dimension ref="A1:D56"/>
  <sheetViews>
    <sheetView zoomScalePageLayoutView="0" workbookViewId="0" topLeftCell="A19">
      <selection activeCell="A10" sqref="A1:IV16384"/>
    </sheetView>
  </sheetViews>
  <sheetFormatPr defaultColWidth="9.140625" defaultRowHeight="12.75"/>
  <cols>
    <col min="1" max="1" width="41.28125" style="11" customWidth="1"/>
    <col min="2" max="2" width="12.140625" style="11" customWidth="1"/>
    <col min="3" max="3" width="55.00390625" style="11" customWidth="1"/>
    <col min="4" max="4" width="12.57421875" style="11" bestFit="1" customWidth="1"/>
    <col min="5" max="5" width="9.140625" style="11" customWidth="1"/>
  </cols>
  <sheetData>
    <row r="1" spans="1:4" s="75" customFormat="1" ht="11.25">
      <c r="A1" s="919" t="str">
        <f>'[1]Parâmetros'!A7</f>
        <v>Município de : Caçapava do Sul / RS.</v>
      </c>
      <c r="B1" s="920"/>
      <c r="C1" s="920"/>
      <c r="D1" s="920"/>
    </row>
    <row r="2" spans="1:4" s="75" customFormat="1" ht="11.25">
      <c r="A2" s="920" t="s">
        <v>36</v>
      </c>
      <c r="B2" s="920"/>
      <c r="C2" s="920"/>
      <c r="D2" s="920"/>
    </row>
    <row r="3" spans="1:4" s="75" customFormat="1" ht="11.25">
      <c r="A3" s="920" t="s">
        <v>152</v>
      </c>
      <c r="B3" s="920"/>
      <c r="C3" s="920"/>
      <c r="D3" s="920"/>
    </row>
    <row r="4" spans="1:4" s="75" customFormat="1" ht="11.25">
      <c r="A4" s="921" t="s">
        <v>1164</v>
      </c>
      <c r="B4" s="921"/>
      <c r="C4" s="921"/>
      <c r="D4" s="921"/>
    </row>
    <row r="5" spans="1:4" s="75" customFormat="1" ht="11.25">
      <c r="A5" s="922" t="s">
        <v>1165</v>
      </c>
      <c r="B5" s="922"/>
      <c r="C5" s="923">
        <v>1</v>
      </c>
      <c r="D5" s="923"/>
    </row>
    <row r="6" spans="1:4" s="75" customFormat="1" ht="11.25">
      <c r="A6" s="914" t="s">
        <v>153</v>
      </c>
      <c r="B6" s="914"/>
      <c r="C6" s="914" t="s">
        <v>107</v>
      </c>
      <c r="D6" s="914"/>
    </row>
    <row r="7" spans="1:4" s="75" customFormat="1" ht="11.25">
      <c r="A7" s="473" t="s">
        <v>108</v>
      </c>
      <c r="B7" s="473" t="s">
        <v>57</v>
      </c>
      <c r="C7" s="473" t="s">
        <v>108</v>
      </c>
      <c r="D7" s="473" t="s">
        <v>57</v>
      </c>
    </row>
    <row r="8" spans="1:4" s="75" customFormat="1" ht="11.25">
      <c r="A8" s="474" t="s">
        <v>154</v>
      </c>
      <c r="B8" s="475">
        <v>0</v>
      </c>
      <c r="C8" s="476"/>
      <c r="D8" s="475"/>
    </row>
    <row r="9" spans="1:4" s="75" customFormat="1" ht="11.25">
      <c r="A9" s="474" t="s">
        <v>155</v>
      </c>
      <c r="B9" s="475"/>
      <c r="C9" s="476"/>
      <c r="D9" s="475"/>
    </row>
    <row r="10" spans="1:4" s="75" customFormat="1" ht="11.25">
      <c r="A10" s="474" t="s">
        <v>156</v>
      </c>
      <c r="B10" s="475"/>
      <c r="C10" s="476"/>
      <c r="D10" s="475"/>
    </row>
    <row r="11" spans="1:4" s="75" customFormat="1" ht="22.5">
      <c r="A11" s="474" t="s">
        <v>1166</v>
      </c>
      <c r="B11" s="475">
        <f>((((3273154.58+1063674.85)*0.5)-((3273154.58+1063674.85)*0.4))*13)*1.1006</f>
        <v>6205048.8118554</v>
      </c>
      <c r="C11" s="476" t="s">
        <v>1167</v>
      </c>
      <c r="D11" s="475">
        <v>825906.47</v>
      </c>
    </row>
    <row r="12" spans="1:4" s="75" customFormat="1" ht="25.5" customHeight="1">
      <c r="A12" s="474"/>
      <c r="B12" s="475"/>
      <c r="C12" s="476" t="s">
        <v>1168</v>
      </c>
      <c r="D12" s="475">
        <f>B11-D11</f>
        <v>5379142.3418554</v>
      </c>
    </row>
    <row r="13" spans="1:4" s="75" customFormat="1" ht="11.25">
      <c r="A13" s="474" t="s">
        <v>157</v>
      </c>
      <c r="B13" s="475"/>
      <c r="C13" s="477"/>
      <c r="D13" s="475"/>
    </row>
    <row r="14" spans="1:4" s="75" customFormat="1" ht="11.25">
      <c r="A14" s="474" t="s">
        <v>1169</v>
      </c>
      <c r="B14" s="475">
        <f>75860.53*12</f>
        <v>910326.36</v>
      </c>
      <c r="C14" s="476" t="s">
        <v>1170</v>
      </c>
      <c r="D14" s="475"/>
    </row>
    <row r="15" spans="1:4" s="75" customFormat="1" ht="11.25">
      <c r="A15" s="474" t="s">
        <v>1171</v>
      </c>
      <c r="B15" s="475">
        <v>42323.79</v>
      </c>
      <c r="C15" s="476" t="s">
        <v>1170</v>
      </c>
      <c r="D15" s="475"/>
    </row>
    <row r="16" spans="1:4" s="75" customFormat="1" ht="22.5">
      <c r="A16" s="474" t="s">
        <v>1172</v>
      </c>
      <c r="B16" s="475">
        <f>85806.61*0.0741</f>
        <v>6358.269801</v>
      </c>
      <c r="C16" s="476" t="s">
        <v>1173</v>
      </c>
      <c r="D16" s="475"/>
    </row>
    <row r="17" spans="1:4" s="75" customFormat="1" ht="11.25">
      <c r="A17" s="474" t="s">
        <v>158</v>
      </c>
      <c r="B17" s="475"/>
      <c r="C17" s="476"/>
      <c r="D17" s="475">
        <f>B14+B15</f>
        <v>952650.15</v>
      </c>
    </row>
    <row r="18" spans="1:4" s="75" customFormat="1" ht="11.25">
      <c r="A18" s="478" t="s">
        <v>159</v>
      </c>
      <c r="B18" s="479">
        <f>SUM(B8:B17)</f>
        <v>7164057.2316564005</v>
      </c>
      <c r="C18" s="480" t="s">
        <v>159</v>
      </c>
      <c r="D18" s="481">
        <f>SUM(D8:D17)</f>
        <v>7157698.9618554</v>
      </c>
    </row>
    <row r="19" spans="1:4" s="466" customFormat="1" ht="8.25">
      <c r="A19" s="915"/>
      <c r="B19" s="915"/>
      <c r="C19" s="916"/>
      <c r="D19" s="917"/>
    </row>
    <row r="20" spans="1:4" s="75" customFormat="1" ht="11.25">
      <c r="A20" s="918" t="s">
        <v>160</v>
      </c>
      <c r="B20" s="918"/>
      <c r="C20" s="914" t="s">
        <v>107</v>
      </c>
      <c r="D20" s="914"/>
    </row>
    <row r="21" spans="1:4" s="75" customFormat="1" ht="11.25">
      <c r="A21" s="473" t="s">
        <v>108</v>
      </c>
      <c r="B21" s="473" t="s">
        <v>57</v>
      </c>
      <c r="C21" s="473" t="s">
        <v>108</v>
      </c>
      <c r="D21" s="473" t="s">
        <v>57</v>
      </c>
    </row>
    <row r="22" spans="1:4" s="75" customFormat="1" ht="11.25">
      <c r="A22" s="474" t="s">
        <v>161</v>
      </c>
      <c r="B22" s="475"/>
      <c r="C22" s="476"/>
      <c r="D22" s="475"/>
    </row>
    <row r="23" spans="1:4" s="75" customFormat="1" ht="11.25">
      <c r="A23" s="474" t="s">
        <v>162</v>
      </c>
      <c r="B23" s="475"/>
      <c r="C23" s="476"/>
      <c r="D23" s="475"/>
    </row>
    <row r="24" spans="1:4" s="75" customFormat="1" ht="11.25">
      <c r="A24" s="474" t="s">
        <v>163</v>
      </c>
      <c r="B24" s="475"/>
      <c r="C24" s="476"/>
      <c r="D24" s="475"/>
    </row>
    <row r="25" spans="1:4" s="75" customFormat="1" ht="22.5">
      <c r="A25" s="474" t="s">
        <v>1174</v>
      </c>
      <c r="B25" s="475">
        <f>30209073-SUM(B14:B16)</f>
        <v>29250064.580199</v>
      </c>
      <c r="C25" s="476" t="s">
        <v>1175</v>
      </c>
      <c r="D25" s="475">
        <v>29250064.58</v>
      </c>
    </row>
    <row r="26" spans="1:4" s="75" customFormat="1" ht="11.25">
      <c r="A26" s="474" t="s">
        <v>159</v>
      </c>
      <c r="B26" s="482">
        <f>SUM(B22:B25)</f>
        <v>29250064.580199</v>
      </c>
      <c r="C26" s="474" t="s">
        <v>159</v>
      </c>
      <c r="D26" s="482">
        <f>SUM(D22:D25)</f>
        <v>29250064.58</v>
      </c>
    </row>
    <row r="27" spans="1:4" s="75" customFormat="1" ht="11.25">
      <c r="A27" s="480" t="s">
        <v>85</v>
      </c>
      <c r="B27" s="481">
        <f>B18+B26</f>
        <v>36414121.8118554</v>
      </c>
      <c r="C27" s="480" t="s">
        <v>85</v>
      </c>
      <c r="D27" s="481">
        <f>D18+D26</f>
        <v>36407763.541855395</v>
      </c>
    </row>
    <row r="28" s="75" customFormat="1" ht="11.25"/>
    <row r="29" s="75" customFormat="1" ht="11.25"/>
    <row r="30" s="75" customFormat="1" ht="11.25"/>
    <row r="31" s="75" customFormat="1" ht="11.25"/>
    <row r="32" s="75" customFormat="1" ht="11.25"/>
    <row r="33" s="75" customFormat="1" ht="11.25"/>
    <row r="34" s="75" customFormat="1" ht="11.25"/>
    <row r="35" s="75" customFormat="1" ht="11.25"/>
    <row r="36" s="75" customFormat="1" ht="11.25"/>
    <row r="37" s="75" customFormat="1" ht="11.25">
      <c r="A37" s="75" t="s">
        <v>1176</v>
      </c>
    </row>
    <row r="38" s="75" customFormat="1" ht="11.25">
      <c r="A38" s="75" t="s">
        <v>1177</v>
      </c>
    </row>
    <row r="39" s="75" customFormat="1" ht="11.25"/>
    <row r="40" s="75" customFormat="1" ht="11.25"/>
    <row r="41" spans="1:2" s="75" customFormat="1" ht="12.75">
      <c r="A41" s="432" t="s">
        <v>1178</v>
      </c>
      <c r="B41" s="483"/>
    </row>
    <row r="42" spans="1:2" s="75" customFormat="1" ht="12.75">
      <c r="A42" s="484" t="s">
        <v>1179</v>
      </c>
      <c r="B42" s="485">
        <v>3993014</v>
      </c>
    </row>
    <row r="43" spans="1:2" s="75" customFormat="1" ht="12.75">
      <c r="A43" s="484" t="s">
        <v>1180</v>
      </c>
      <c r="B43" s="485">
        <v>181315</v>
      </c>
    </row>
    <row r="44" spans="1:2" s="75" customFormat="1" ht="12.75">
      <c r="A44" s="486" t="s">
        <v>1181</v>
      </c>
      <c r="B44" s="487">
        <v>150444</v>
      </c>
    </row>
    <row r="45" spans="1:2" s="75" customFormat="1" ht="12.75">
      <c r="A45" s="486" t="s">
        <v>1182</v>
      </c>
      <c r="B45" s="487">
        <v>54134</v>
      </c>
    </row>
    <row r="46" spans="1:2" s="75" customFormat="1" ht="12.75">
      <c r="A46" s="484" t="s">
        <v>1183</v>
      </c>
      <c r="B46" s="485">
        <v>3017640</v>
      </c>
    </row>
    <row r="47" spans="1:2" s="75" customFormat="1" ht="12.75">
      <c r="A47" s="484" t="s">
        <v>1184</v>
      </c>
      <c r="B47" s="485">
        <v>1447994</v>
      </c>
    </row>
    <row r="48" spans="1:2" s="75" customFormat="1" ht="12.75">
      <c r="A48" s="484" t="s">
        <v>1185</v>
      </c>
      <c r="B48" s="485">
        <v>0</v>
      </c>
    </row>
    <row r="49" spans="1:2" s="75" customFormat="1" ht="12.75">
      <c r="A49" s="486" t="s">
        <v>1186</v>
      </c>
      <c r="B49" s="487">
        <v>1361814</v>
      </c>
    </row>
    <row r="50" spans="1:2" s="75" customFormat="1" ht="12.75">
      <c r="A50" s="484" t="s">
        <v>1187</v>
      </c>
      <c r="B50" s="485">
        <v>6236509</v>
      </c>
    </row>
    <row r="51" spans="1:2" s="75" customFormat="1" ht="12.75">
      <c r="A51" s="484" t="s">
        <v>1188</v>
      </c>
      <c r="B51" s="485">
        <v>1411929</v>
      </c>
    </row>
    <row r="52" spans="1:2" s="75" customFormat="1" ht="12.75">
      <c r="A52" s="484" t="s">
        <v>1189</v>
      </c>
      <c r="B52" s="485">
        <v>344187</v>
      </c>
    </row>
    <row r="53" spans="1:2" s="75" customFormat="1" ht="12.75">
      <c r="A53" s="484" t="s">
        <v>1190</v>
      </c>
      <c r="B53" s="485">
        <v>10827066</v>
      </c>
    </row>
    <row r="54" spans="1:2" s="75" customFormat="1" ht="12.75">
      <c r="A54" s="484" t="s">
        <v>1191</v>
      </c>
      <c r="B54" s="485">
        <v>1183028</v>
      </c>
    </row>
    <row r="55" spans="1:2" s="490" customFormat="1" ht="12.75">
      <c r="A55" s="488" t="s">
        <v>1192</v>
      </c>
      <c r="B55" s="489">
        <f>SUM(B42:B54)</f>
        <v>30209074</v>
      </c>
    </row>
    <row r="56" spans="1:2" s="75" customFormat="1" ht="12.75">
      <c r="A56"/>
      <c r="B56" s="483">
        <f>30209073-B55</f>
        <v>-1</v>
      </c>
    </row>
  </sheetData>
  <sheetProtection/>
  <mergeCells count="12">
    <mergeCell ref="A1:D1"/>
    <mergeCell ref="A2:D2"/>
    <mergeCell ref="A3:D3"/>
    <mergeCell ref="A4:D4"/>
    <mergeCell ref="A5:B5"/>
    <mergeCell ref="C5:D5"/>
    <mergeCell ref="A6:B6"/>
    <mergeCell ref="C6:D6"/>
    <mergeCell ref="A19:B19"/>
    <mergeCell ref="C19:D19"/>
    <mergeCell ref="A20:B20"/>
    <mergeCell ref="C20:D20"/>
  </mergeCells>
  <printOptions/>
  <pageMargins left="0.787401575" right="0.787401575" top="0.984251969" bottom="0.984251969" header="0.492125985" footer="0.492125985"/>
  <pageSetup orientation="portrait" paperSize="9" r:id="rId2"/>
  <drawing r:id="rId1"/>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1">
      <selection activeCell="A4" sqref="A4:B4"/>
    </sheetView>
  </sheetViews>
  <sheetFormatPr defaultColWidth="9.140625" defaultRowHeight="12.75"/>
  <cols>
    <col min="2" max="2" width="50.00390625" style="0" customWidth="1"/>
    <col min="3" max="3" width="9.8515625" style="0" customWidth="1"/>
    <col min="4" max="4" width="12.00390625" style="0" customWidth="1"/>
    <col min="5" max="5" width="20.28125" style="0" customWidth="1"/>
  </cols>
  <sheetData>
    <row r="1" spans="1:5" ht="12.75">
      <c r="A1" s="930" t="s">
        <v>631</v>
      </c>
      <c r="B1" s="931"/>
      <c r="C1" s="931"/>
      <c r="D1" s="931"/>
      <c r="E1" s="932"/>
    </row>
    <row r="2" spans="1:5" ht="12.75">
      <c r="A2" s="933" t="s">
        <v>172</v>
      </c>
      <c r="B2" s="934"/>
      <c r="C2" s="934"/>
      <c r="D2" s="934"/>
      <c r="E2" s="935"/>
    </row>
    <row r="3" spans="1:5" ht="12.75">
      <c r="A3" s="62"/>
      <c r="B3" s="63"/>
      <c r="C3" s="63"/>
      <c r="D3" s="63"/>
      <c r="E3" s="64"/>
    </row>
    <row r="4" spans="1:5" ht="12.75">
      <c r="A4" s="936" t="s">
        <v>173</v>
      </c>
      <c r="B4" s="937"/>
      <c r="C4" s="63"/>
      <c r="D4" s="63"/>
      <c r="E4" s="64"/>
    </row>
    <row r="5" spans="1:5" ht="12.75">
      <c r="A5" s="936" t="s">
        <v>174</v>
      </c>
      <c r="B5" s="934"/>
      <c r="C5" s="63"/>
      <c r="D5" s="63"/>
      <c r="E5" s="64"/>
    </row>
    <row r="6" spans="1:5" ht="13.5" thickBot="1">
      <c r="A6" s="65"/>
      <c r="B6" s="66"/>
      <c r="C6" s="66"/>
      <c r="D6" s="66"/>
      <c r="E6" s="67"/>
    </row>
    <row r="7" spans="1:5" ht="12.75">
      <c r="A7" s="924" t="s">
        <v>175</v>
      </c>
      <c r="B7" s="68" t="s">
        <v>176</v>
      </c>
      <c r="C7" s="924" t="s">
        <v>177</v>
      </c>
      <c r="D7" s="927"/>
      <c r="E7" s="68"/>
    </row>
    <row r="8" spans="1:5" ht="12.75">
      <c r="A8" s="925"/>
      <c r="B8" s="69"/>
      <c r="C8" s="925"/>
      <c r="D8" s="928"/>
      <c r="E8" s="69">
        <v>2023</v>
      </c>
    </row>
    <row r="9" spans="1:5" ht="13.5" thickBot="1">
      <c r="A9" s="926"/>
      <c r="B9" s="70" t="s">
        <v>178</v>
      </c>
      <c r="C9" s="926"/>
      <c r="D9" s="929"/>
      <c r="E9" s="71"/>
    </row>
    <row r="10" spans="1:5" ht="12.75">
      <c r="A10" s="938"/>
      <c r="B10" s="938"/>
      <c r="C10" s="938"/>
      <c r="D10" s="72" t="s">
        <v>179</v>
      </c>
      <c r="E10" s="938"/>
    </row>
    <row r="11" spans="1:5" ht="13.5" thickBot="1">
      <c r="A11" s="939"/>
      <c r="B11" s="939"/>
      <c r="C11" s="939"/>
      <c r="D11" s="73" t="s">
        <v>57</v>
      </c>
      <c r="E11" s="939"/>
    </row>
    <row r="12" spans="1:5" ht="12.75">
      <c r="A12" s="938"/>
      <c r="B12" s="938"/>
      <c r="C12" s="938"/>
      <c r="D12" s="72" t="s">
        <v>179</v>
      </c>
      <c r="E12" s="938"/>
    </row>
    <row r="13" spans="1:5" ht="13.5" thickBot="1">
      <c r="A13" s="939"/>
      <c r="B13" s="939"/>
      <c r="C13" s="939"/>
      <c r="D13" s="73" t="s">
        <v>57</v>
      </c>
      <c r="E13" s="939"/>
    </row>
    <row r="14" spans="1:5" ht="12.75">
      <c r="A14" s="938"/>
      <c r="B14" s="938"/>
      <c r="C14" s="938"/>
      <c r="D14" s="72" t="s">
        <v>179</v>
      </c>
      <c r="E14" s="938"/>
    </row>
    <row r="15" spans="1:5" ht="13.5" thickBot="1">
      <c r="A15" s="939"/>
      <c r="B15" s="939"/>
      <c r="C15" s="939"/>
      <c r="D15" s="73" t="s">
        <v>57</v>
      </c>
      <c r="E15" s="939"/>
    </row>
    <row r="16" spans="1:5" ht="12.75">
      <c r="A16" s="938"/>
      <c r="B16" s="938"/>
      <c r="C16" s="938"/>
      <c r="D16" s="72" t="s">
        <v>179</v>
      </c>
      <c r="E16" s="938"/>
    </row>
    <row r="17" spans="1:5" ht="13.5" thickBot="1">
      <c r="A17" s="939"/>
      <c r="B17" s="939"/>
      <c r="C17" s="939"/>
      <c r="D17" s="73" t="s">
        <v>57</v>
      </c>
      <c r="E17" s="939"/>
    </row>
    <row r="18" spans="1:5" ht="12.75">
      <c r="A18" s="938"/>
      <c r="B18" s="938"/>
      <c r="C18" s="938"/>
      <c r="D18" s="72" t="s">
        <v>179</v>
      </c>
      <c r="E18" s="938"/>
    </row>
    <row r="19" spans="1:5" ht="13.5" thickBot="1">
      <c r="A19" s="939"/>
      <c r="B19" s="939"/>
      <c r="C19" s="939"/>
      <c r="D19" s="73" t="s">
        <v>57</v>
      </c>
      <c r="E19" s="939"/>
    </row>
    <row r="20" spans="1:5" ht="12.75">
      <c r="A20" s="938"/>
      <c r="B20" s="938"/>
      <c r="C20" s="938"/>
      <c r="D20" s="72" t="s">
        <v>179</v>
      </c>
      <c r="E20" s="938"/>
    </row>
    <row r="21" spans="1:5" ht="13.5" thickBot="1">
      <c r="A21" s="939"/>
      <c r="B21" s="939"/>
      <c r="C21" s="939"/>
      <c r="D21" s="73" t="s">
        <v>57</v>
      </c>
      <c r="E21" s="939"/>
    </row>
    <row r="22" spans="1:5" ht="12.75">
      <c r="A22" s="938"/>
      <c r="B22" s="938"/>
      <c r="C22" s="938"/>
      <c r="D22" s="72" t="s">
        <v>179</v>
      </c>
      <c r="E22" s="938"/>
    </row>
    <row r="23" spans="1:5" ht="13.5" thickBot="1">
      <c r="A23" s="939"/>
      <c r="B23" s="939"/>
      <c r="C23" s="939"/>
      <c r="D23" s="73" t="s">
        <v>57</v>
      </c>
      <c r="E23" s="939"/>
    </row>
    <row r="24" spans="1:5" ht="12.75">
      <c r="A24" s="938"/>
      <c r="B24" s="938"/>
      <c r="C24" s="938"/>
      <c r="D24" s="72" t="s">
        <v>179</v>
      </c>
      <c r="E24" s="938"/>
    </row>
    <row r="25" spans="1:5" ht="13.5" thickBot="1">
      <c r="A25" s="939"/>
      <c r="B25" s="939"/>
      <c r="C25" s="939"/>
      <c r="D25" s="73" t="s">
        <v>57</v>
      </c>
      <c r="E25" s="939"/>
    </row>
    <row r="26" spans="1:5" ht="12.75">
      <c r="A26" s="938"/>
      <c r="B26" s="938"/>
      <c r="C26" s="938"/>
      <c r="D26" s="72" t="s">
        <v>179</v>
      </c>
      <c r="E26" s="938"/>
    </row>
    <row r="27" spans="1:5" ht="13.5" thickBot="1">
      <c r="A27" s="939"/>
      <c r="B27" s="939"/>
      <c r="C27" s="939"/>
      <c r="D27" s="73" t="s">
        <v>57</v>
      </c>
      <c r="E27" s="939"/>
    </row>
    <row r="28" spans="1:5" ht="12.75">
      <c r="A28" s="938"/>
      <c r="B28" s="938"/>
      <c r="C28" s="938"/>
      <c r="D28" s="72" t="s">
        <v>179</v>
      </c>
      <c r="E28" s="938"/>
    </row>
    <row r="29" spans="1:5" ht="13.5" thickBot="1">
      <c r="A29" s="939"/>
      <c r="B29" s="939"/>
      <c r="C29" s="939"/>
      <c r="D29" s="73" t="s">
        <v>57</v>
      </c>
      <c r="E29" s="939"/>
    </row>
    <row r="30" spans="1:5" ht="12.75">
      <c r="A30" s="938"/>
      <c r="B30" s="938"/>
      <c r="C30" s="938"/>
      <c r="D30" s="72" t="s">
        <v>179</v>
      </c>
      <c r="E30" s="938"/>
    </row>
    <row r="31" spans="1:5" ht="13.5" thickBot="1">
      <c r="A31" s="939"/>
      <c r="B31" s="939"/>
      <c r="C31" s="939"/>
      <c r="D31" s="73" t="s">
        <v>57</v>
      </c>
      <c r="E31" s="939"/>
    </row>
    <row r="32" spans="1:5" ht="12.75">
      <c r="A32" s="938"/>
      <c r="B32" s="938"/>
      <c r="C32" s="938"/>
      <c r="D32" s="72" t="s">
        <v>179</v>
      </c>
      <c r="E32" s="938"/>
    </row>
    <row r="33" spans="1:5" ht="13.5" thickBot="1">
      <c r="A33" s="939"/>
      <c r="B33" s="939"/>
      <c r="C33" s="939"/>
      <c r="D33" s="72" t="s">
        <v>57</v>
      </c>
      <c r="E33" s="939"/>
    </row>
    <row r="34" spans="1:5" ht="13.5" thickBot="1">
      <c r="A34" s="940" t="s">
        <v>180</v>
      </c>
      <c r="B34" s="941"/>
      <c r="C34" s="941"/>
      <c r="D34" s="942"/>
      <c r="E34" s="74"/>
    </row>
    <row r="35" spans="1:2" ht="12.75">
      <c r="A35" s="75" t="s">
        <v>181</v>
      </c>
      <c r="B35" s="75" t="s">
        <v>182</v>
      </c>
    </row>
  </sheetData>
  <sheetProtection/>
  <mergeCells count="56">
    <mergeCell ref="E32:E33"/>
    <mergeCell ref="A30:A31"/>
    <mergeCell ref="B30:B31"/>
    <mergeCell ref="C30:C31"/>
    <mergeCell ref="E30:E31"/>
    <mergeCell ref="A34:D34"/>
    <mergeCell ref="A32:A33"/>
    <mergeCell ref="B32:B33"/>
    <mergeCell ref="C32:C33"/>
    <mergeCell ref="A26:A27"/>
    <mergeCell ref="B26:B27"/>
    <mergeCell ref="C26:C27"/>
    <mergeCell ref="E26:E27"/>
    <mergeCell ref="A28:A29"/>
    <mergeCell ref="B28:B29"/>
    <mergeCell ref="C28:C29"/>
    <mergeCell ref="E28:E29"/>
    <mergeCell ref="A22:A23"/>
    <mergeCell ref="B22:B23"/>
    <mergeCell ref="C22:C23"/>
    <mergeCell ref="E22:E23"/>
    <mergeCell ref="A24:A25"/>
    <mergeCell ref="B24:B25"/>
    <mergeCell ref="C24:C25"/>
    <mergeCell ref="E24:E25"/>
    <mergeCell ref="A18:A19"/>
    <mergeCell ref="B18:B19"/>
    <mergeCell ref="C18:C19"/>
    <mergeCell ref="E18:E19"/>
    <mergeCell ref="A20:A21"/>
    <mergeCell ref="B20:B21"/>
    <mergeCell ref="C20:C21"/>
    <mergeCell ref="E20:E21"/>
    <mergeCell ref="A14:A15"/>
    <mergeCell ref="B14:B15"/>
    <mergeCell ref="C14:C15"/>
    <mergeCell ref="E14:E15"/>
    <mergeCell ref="A16:A17"/>
    <mergeCell ref="B16:B17"/>
    <mergeCell ref="C16:C17"/>
    <mergeCell ref="E16:E17"/>
    <mergeCell ref="A10:A11"/>
    <mergeCell ref="B10:B11"/>
    <mergeCell ref="C10:C11"/>
    <mergeCell ref="E10:E11"/>
    <mergeCell ref="A12:A13"/>
    <mergeCell ref="B12:B13"/>
    <mergeCell ref="C12:C13"/>
    <mergeCell ref="E12:E13"/>
    <mergeCell ref="A7:A9"/>
    <mergeCell ref="C7:C9"/>
    <mergeCell ref="D7:D9"/>
    <mergeCell ref="A1:E1"/>
    <mergeCell ref="A2:E2"/>
    <mergeCell ref="A4:B4"/>
    <mergeCell ref="A5:B5"/>
  </mergeCells>
  <printOptions/>
  <pageMargins left="0.787401575" right="0.787401575" top="0.984251969" bottom="0.984251969" header="0.492125985" footer="0.492125985"/>
  <pageSetup orientation="portrait" paperSize="9" r:id="rId1"/>
</worksheet>
</file>

<file path=xl/worksheets/sheet19.xml><?xml version="1.0" encoding="utf-8"?>
<worksheet xmlns="http://schemas.openxmlformats.org/spreadsheetml/2006/main" xmlns:r="http://schemas.openxmlformats.org/officeDocument/2006/relationships">
  <dimension ref="A1:N431"/>
  <sheetViews>
    <sheetView zoomScalePageLayoutView="0" workbookViewId="0" topLeftCell="A52">
      <selection activeCell="F73" sqref="F73"/>
    </sheetView>
  </sheetViews>
  <sheetFormatPr defaultColWidth="9.140625" defaultRowHeight="12.75"/>
  <cols>
    <col min="1" max="1" width="7.7109375" style="0" customWidth="1"/>
    <col min="2" max="2" width="5.00390625" style="0" bestFit="1" customWidth="1"/>
    <col min="3" max="3" width="22.7109375" style="0" customWidth="1"/>
    <col min="4" max="4" width="13.00390625" style="0" customWidth="1"/>
    <col min="5" max="5" width="9.140625" style="0" customWidth="1"/>
    <col min="6" max="6" width="11.140625" style="0" bestFit="1" customWidth="1"/>
    <col min="7" max="7" width="11.421875" style="0" bestFit="1" customWidth="1"/>
    <col min="8" max="8" width="13.7109375" style="0" bestFit="1" customWidth="1"/>
    <col min="9" max="9" width="11.140625" style="75" bestFit="1" customWidth="1"/>
    <col min="10" max="10" width="12.140625" style="75" bestFit="1" customWidth="1"/>
    <col min="11" max="11" width="10.28125" style="75" bestFit="1" customWidth="1"/>
    <col min="12" max="12" width="12.00390625" style="75" bestFit="1" customWidth="1"/>
    <col min="13" max="13" width="11.28125" style="0" bestFit="1" customWidth="1"/>
    <col min="14" max="14" width="14.28125" style="0" bestFit="1" customWidth="1"/>
    <col min="16" max="16" width="9.8515625" style="0" bestFit="1" customWidth="1"/>
  </cols>
  <sheetData>
    <row r="1" spans="1:10" ht="12.75" customHeight="1">
      <c r="A1" s="491" t="s">
        <v>1193</v>
      </c>
      <c r="B1" s="492" t="s">
        <v>1194</v>
      </c>
      <c r="C1" s="946" t="s">
        <v>1195</v>
      </c>
      <c r="D1" s="947"/>
      <c r="E1" s="493" t="s">
        <v>1196</v>
      </c>
      <c r="F1" s="494" t="s">
        <v>1163</v>
      </c>
      <c r="G1" s="494" t="s">
        <v>1162</v>
      </c>
      <c r="H1" s="494" t="s">
        <v>1197</v>
      </c>
      <c r="I1" s="495">
        <v>2023</v>
      </c>
      <c r="J1" s="494" t="s">
        <v>1198</v>
      </c>
    </row>
    <row r="2" spans="1:10" ht="11.25" customHeight="1">
      <c r="A2" s="496" t="s">
        <v>1199</v>
      </c>
      <c r="B2" s="497"/>
      <c r="C2" s="948" t="s">
        <v>1200</v>
      </c>
      <c r="D2" s="949"/>
      <c r="E2" s="498"/>
      <c r="F2" s="499">
        <v>238856</v>
      </c>
      <c r="G2" s="499">
        <v>240</v>
      </c>
      <c r="H2" s="499">
        <f>SUM(F2:G2)</f>
        <v>239096</v>
      </c>
      <c r="I2" s="485"/>
      <c r="J2" s="485"/>
    </row>
    <row r="3" spans="1:10" ht="12.75">
      <c r="A3" s="496" t="s">
        <v>1199</v>
      </c>
      <c r="B3" s="497"/>
      <c r="C3" s="948" t="s">
        <v>1201</v>
      </c>
      <c r="D3" s="949"/>
      <c r="E3" s="498">
        <v>273110.27</v>
      </c>
      <c r="F3" s="499">
        <v>238856</v>
      </c>
      <c r="G3" s="500">
        <v>34254.27</v>
      </c>
      <c r="H3" s="499">
        <f>SUM(F3:G3)</f>
        <v>273110.27</v>
      </c>
      <c r="I3" s="485"/>
      <c r="J3" s="485"/>
    </row>
    <row r="4" spans="1:10" ht="12.75">
      <c r="A4" s="496" t="s">
        <v>1199</v>
      </c>
      <c r="B4" s="497"/>
      <c r="C4" s="948" t="s">
        <v>1202</v>
      </c>
      <c r="D4" s="949"/>
      <c r="E4" s="498">
        <f>248846.63</f>
        <v>248846.63</v>
      </c>
      <c r="F4" s="499">
        <v>238856</v>
      </c>
      <c r="G4" s="501">
        <v>9990.63</v>
      </c>
      <c r="H4" s="499">
        <f aca="true" t="shared" si="0" ref="H4:H10">SUM(F4:G4)</f>
        <v>248846.63</v>
      </c>
      <c r="I4" s="485"/>
      <c r="J4" s="485"/>
    </row>
    <row r="5" spans="1:10" ht="12.75">
      <c r="A5" s="496" t="s">
        <v>1199</v>
      </c>
      <c r="B5" s="497"/>
      <c r="C5" s="948" t="s">
        <v>1203</v>
      </c>
      <c r="D5" s="949"/>
      <c r="E5" s="498"/>
      <c r="F5" s="499">
        <v>238750</v>
      </c>
      <c r="G5" s="502">
        <v>8005.61</v>
      </c>
      <c r="H5" s="499">
        <f t="shared" si="0"/>
        <v>246755.61</v>
      </c>
      <c r="I5" s="485"/>
      <c r="J5" s="485"/>
    </row>
    <row r="6" spans="1:10" ht="12.75">
      <c r="A6" s="496" t="s">
        <v>1199</v>
      </c>
      <c r="B6" s="497"/>
      <c r="C6" s="948" t="s">
        <v>1204</v>
      </c>
      <c r="D6" s="949"/>
      <c r="E6" s="498">
        <v>360000</v>
      </c>
      <c r="F6" s="499">
        <v>320000</v>
      </c>
      <c r="G6" s="499">
        <v>40000</v>
      </c>
      <c r="H6" s="499">
        <f t="shared" si="0"/>
        <v>360000</v>
      </c>
      <c r="I6" s="485"/>
      <c r="J6" s="485"/>
    </row>
    <row r="7" spans="1:10" ht="16.5" customHeight="1">
      <c r="A7" s="503" t="s">
        <v>1199</v>
      </c>
      <c r="B7" s="504"/>
      <c r="C7" s="950" t="s">
        <v>1205</v>
      </c>
      <c r="D7" s="951"/>
      <c r="E7" s="498"/>
      <c r="F7" s="500">
        <v>481104</v>
      </c>
      <c r="G7" s="500">
        <v>17717.32</v>
      </c>
      <c r="H7" s="500">
        <f t="shared" si="0"/>
        <v>498821.32</v>
      </c>
      <c r="I7" s="485"/>
      <c r="J7" s="485"/>
    </row>
    <row r="8" spans="1:10" ht="12.75">
      <c r="A8" s="496" t="s">
        <v>1206</v>
      </c>
      <c r="B8" s="497"/>
      <c r="C8" s="948" t="s">
        <v>1207</v>
      </c>
      <c r="D8" s="949"/>
      <c r="E8" s="498">
        <v>107710.29</v>
      </c>
      <c r="F8" s="499">
        <v>100275</v>
      </c>
      <c r="G8" s="499">
        <v>7435.29</v>
      </c>
      <c r="H8" s="499">
        <f t="shared" si="0"/>
        <v>107710.29</v>
      </c>
      <c r="I8" s="485"/>
      <c r="J8" s="485"/>
    </row>
    <row r="9" spans="1:10" ht="12.75">
      <c r="A9" s="496" t="s">
        <v>1208</v>
      </c>
      <c r="B9" s="497"/>
      <c r="C9" s="948" t="s">
        <v>1209</v>
      </c>
      <c r="D9" s="949"/>
      <c r="E9" s="498"/>
      <c r="F9" s="499">
        <v>238750</v>
      </c>
      <c r="G9" s="502">
        <v>302128.6</v>
      </c>
      <c r="H9" s="499">
        <f t="shared" si="0"/>
        <v>540878.6</v>
      </c>
      <c r="I9" s="485"/>
      <c r="J9" s="485"/>
    </row>
    <row r="10" spans="1:10" ht="12.75">
      <c r="A10" s="496" t="s">
        <v>1210</v>
      </c>
      <c r="B10" s="497">
        <v>1121</v>
      </c>
      <c r="C10" s="948" t="s">
        <v>1211</v>
      </c>
      <c r="D10" s="949"/>
      <c r="E10" s="471"/>
      <c r="F10" s="499">
        <v>250000</v>
      </c>
      <c r="G10" s="502">
        <v>54276.84</v>
      </c>
      <c r="H10" s="499">
        <f t="shared" si="0"/>
        <v>304276.83999999997</v>
      </c>
      <c r="I10" s="485"/>
      <c r="J10" s="485"/>
    </row>
    <row r="11" spans="1:10" ht="15.75" customHeight="1">
      <c r="A11" s="952" t="s">
        <v>1212</v>
      </c>
      <c r="B11" s="953"/>
      <c r="C11" s="953"/>
      <c r="D11" s="954"/>
      <c r="E11" s="505">
        <f>SUM(E2:E10)</f>
        <v>989667.1900000001</v>
      </c>
      <c r="F11" s="505">
        <f>SUM(F2:F10)</f>
        <v>2345447</v>
      </c>
      <c r="G11" s="505">
        <f>SUM(G2:G10)</f>
        <v>474048.55999999994</v>
      </c>
      <c r="H11" s="505">
        <f>SUM(H2:H10)</f>
        <v>2819495.56</v>
      </c>
      <c r="I11" s="485"/>
      <c r="J11" s="485"/>
    </row>
    <row r="12" spans="1:10" ht="12.75">
      <c r="A12" s="506" t="s">
        <v>1213</v>
      </c>
      <c r="B12" s="955" t="s">
        <v>1214</v>
      </c>
      <c r="C12" s="956"/>
      <c r="D12" s="957"/>
      <c r="E12" s="507" t="s">
        <v>1215</v>
      </c>
      <c r="F12" s="508" t="s">
        <v>1216</v>
      </c>
      <c r="G12" s="506" t="s">
        <v>1217</v>
      </c>
      <c r="H12" s="506" t="s">
        <v>1218</v>
      </c>
      <c r="I12" s="485"/>
      <c r="J12" s="485"/>
    </row>
    <row r="13" spans="1:10" ht="12.75">
      <c r="A13" s="509">
        <v>3843</v>
      </c>
      <c r="B13" s="510" t="s">
        <v>1219</v>
      </c>
      <c r="C13" s="511"/>
      <c r="D13" s="512"/>
      <c r="E13" s="513"/>
      <c r="F13" s="501">
        <v>250000</v>
      </c>
      <c r="G13" s="514"/>
      <c r="H13" s="515">
        <f>SUM(E13:G13)</f>
        <v>250000</v>
      </c>
      <c r="I13" s="485"/>
      <c r="J13" s="485"/>
    </row>
    <row r="14" spans="1:14" ht="12.75">
      <c r="A14" s="509">
        <v>1186</v>
      </c>
      <c r="B14" s="510" t="s">
        <v>1220</v>
      </c>
      <c r="C14" s="511"/>
      <c r="D14" s="512"/>
      <c r="E14" s="516"/>
      <c r="F14" s="499">
        <v>417815.78</v>
      </c>
      <c r="G14" s="517">
        <v>176334.8</v>
      </c>
      <c r="H14" s="515">
        <f>SUM(E14:G14)</f>
        <v>594150.5800000001</v>
      </c>
      <c r="I14" s="485">
        <v>329158.3</v>
      </c>
      <c r="J14" s="485">
        <v>193161.22</v>
      </c>
      <c r="K14" s="518">
        <f>411447.88-I14</f>
        <v>82289.58000000002</v>
      </c>
      <c r="L14" s="519">
        <f>241451.52-J14</f>
        <v>48290.29999999999</v>
      </c>
      <c r="M14" s="483"/>
      <c r="N14" s="483"/>
    </row>
    <row r="15" spans="1:10" ht="12.75">
      <c r="A15" s="509">
        <v>3843</v>
      </c>
      <c r="B15" s="510" t="s">
        <v>1221</v>
      </c>
      <c r="C15" s="511"/>
      <c r="D15" s="512"/>
      <c r="E15" s="513"/>
      <c r="F15" s="501">
        <v>249682</v>
      </c>
      <c r="G15" s="514"/>
      <c r="H15" s="515">
        <f>SUM(E15:G15)</f>
        <v>249682</v>
      </c>
      <c r="I15" s="520"/>
      <c r="J15" s="520"/>
    </row>
    <row r="16" spans="1:11" ht="12.75">
      <c r="A16" s="509">
        <v>3804</v>
      </c>
      <c r="B16" s="510" t="s">
        <v>1222</v>
      </c>
      <c r="C16" s="511"/>
      <c r="D16" s="512"/>
      <c r="E16" s="521">
        <v>400000</v>
      </c>
      <c r="F16" s="501">
        <v>201727.41</v>
      </c>
      <c r="G16" s="517">
        <v>66858.6</v>
      </c>
      <c r="H16" s="515">
        <f>SUM(E16:G16)</f>
        <v>668586.01</v>
      </c>
      <c r="I16" s="485">
        <v>601727.41</v>
      </c>
      <c r="J16" s="485">
        <v>66858.6</v>
      </c>
      <c r="K16" s="522">
        <f>K14/F14</f>
        <v>0.19695182407902356</v>
      </c>
    </row>
    <row r="17" spans="1:10" ht="9.75" customHeight="1">
      <c r="A17" s="509">
        <v>3843</v>
      </c>
      <c r="B17" s="943" t="s">
        <v>1223</v>
      </c>
      <c r="C17" s="944"/>
      <c r="D17" s="945"/>
      <c r="E17" s="501"/>
      <c r="F17" s="501">
        <v>100000</v>
      </c>
      <c r="G17" s="523"/>
      <c r="H17" s="515">
        <f>SUM(E17:G17)</f>
        <v>100000</v>
      </c>
      <c r="I17" s="485"/>
      <c r="J17" s="485"/>
    </row>
    <row r="18" spans="1:10" ht="10.5" customHeight="1">
      <c r="A18" s="509">
        <v>3839</v>
      </c>
      <c r="B18" s="510" t="s">
        <v>1224</v>
      </c>
      <c r="C18" s="511"/>
      <c r="D18" s="512"/>
      <c r="E18" s="524"/>
      <c r="F18" s="499">
        <v>105128.98</v>
      </c>
      <c r="G18" s="523"/>
      <c r="H18" s="515">
        <f aca="true" t="shared" si="1" ref="H18:H26">SUM(E18:G18)</f>
        <v>105128.98</v>
      </c>
      <c r="I18" s="485"/>
      <c r="J18" s="485"/>
    </row>
    <row r="19" spans="1:10" ht="12.75">
      <c r="A19" s="509">
        <v>3838</v>
      </c>
      <c r="B19" s="510" t="s">
        <v>1225</v>
      </c>
      <c r="C19" s="511"/>
      <c r="D19" s="512"/>
      <c r="E19" s="507"/>
      <c r="F19" s="501">
        <v>210257.97</v>
      </c>
      <c r="G19" s="525">
        <v>33120.39</v>
      </c>
      <c r="H19" s="515">
        <f t="shared" si="1"/>
        <v>243378.36</v>
      </c>
      <c r="I19" s="485"/>
      <c r="J19" s="485"/>
    </row>
    <row r="20" spans="1:12" ht="12.75">
      <c r="A20" s="526">
        <v>3831</v>
      </c>
      <c r="B20" s="510" t="s">
        <v>1226</v>
      </c>
      <c r="C20" s="511"/>
      <c r="D20" s="512"/>
      <c r="E20" s="501"/>
      <c r="F20" s="501">
        <f>130982.31</f>
        <v>130982.31</v>
      </c>
      <c r="G20" s="515">
        <v>684.39</v>
      </c>
      <c r="H20" s="515">
        <f>SUM(E20:G20)</f>
        <v>131666.7</v>
      </c>
      <c r="I20" s="520"/>
      <c r="J20" s="520"/>
      <c r="K20" s="501">
        <v>245850</v>
      </c>
      <c r="L20" s="515">
        <v>1215.16</v>
      </c>
    </row>
    <row r="21" spans="1:10" ht="12.75">
      <c r="A21" s="509">
        <v>3844</v>
      </c>
      <c r="B21" s="510" t="s">
        <v>1227</v>
      </c>
      <c r="C21" s="511"/>
      <c r="D21" s="512"/>
      <c r="E21" s="516"/>
      <c r="F21" s="501">
        <v>300000</v>
      </c>
      <c r="G21" s="514"/>
      <c r="H21" s="515">
        <f t="shared" si="1"/>
        <v>300000</v>
      </c>
      <c r="I21" s="485"/>
      <c r="J21" s="485"/>
    </row>
    <row r="22" spans="1:10" ht="12.75">
      <c r="A22" s="509">
        <v>3833</v>
      </c>
      <c r="B22" s="943" t="s">
        <v>1228</v>
      </c>
      <c r="C22" s="944"/>
      <c r="D22" s="945"/>
      <c r="E22" s="516"/>
      <c r="F22" s="501">
        <v>52688.76</v>
      </c>
      <c r="G22" s="514"/>
      <c r="H22" s="515">
        <f t="shared" si="1"/>
        <v>52688.76</v>
      </c>
      <c r="I22" s="520"/>
      <c r="J22" s="520"/>
    </row>
    <row r="23" spans="1:10" ht="12.75">
      <c r="A23" s="509">
        <v>3831</v>
      </c>
      <c r="B23" s="943" t="s">
        <v>1229</v>
      </c>
      <c r="C23" s="944"/>
      <c r="D23" s="945"/>
      <c r="E23" s="516"/>
      <c r="F23" s="501">
        <v>117562.63</v>
      </c>
      <c r="G23" s="514"/>
      <c r="H23" s="515">
        <f t="shared" si="1"/>
        <v>117562.63</v>
      </c>
      <c r="I23" s="520"/>
      <c r="J23" s="520"/>
    </row>
    <row r="24" spans="1:10" ht="12.75">
      <c r="A24" s="509">
        <v>4506</v>
      </c>
      <c r="B24" s="943" t="s">
        <v>1230</v>
      </c>
      <c r="C24" s="944"/>
      <c r="D24" s="945"/>
      <c r="E24" s="516"/>
      <c r="F24" s="501">
        <v>245720</v>
      </c>
      <c r="G24" s="514"/>
      <c r="H24" s="515">
        <f t="shared" si="1"/>
        <v>245720</v>
      </c>
      <c r="I24" s="520"/>
      <c r="J24" s="520"/>
    </row>
    <row r="25" spans="1:10" ht="12.75">
      <c r="A25" s="509">
        <v>4001</v>
      </c>
      <c r="B25" s="510" t="s">
        <v>1231</v>
      </c>
      <c r="C25" s="511"/>
      <c r="D25" s="512"/>
      <c r="E25" s="516"/>
      <c r="F25" s="501">
        <v>100000</v>
      </c>
      <c r="G25" s="514"/>
      <c r="H25" s="515">
        <f>SUM(E25:G25)</f>
        <v>100000</v>
      </c>
      <c r="I25" s="520"/>
      <c r="J25" s="520"/>
    </row>
    <row r="26" spans="1:10" ht="12.75">
      <c r="A26" s="509">
        <v>4505</v>
      </c>
      <c r="B26" s="510" t="s">
        <v>1232</v>
      </c>
      <c r="C26" s="511"/>
      <c r="D26" s="512"/>
      <c r="E26" s="516"/>
      <c r="F26" s="501">
        <v>465766</v>
      </c>
      <c r="G26" s="514"/>
      <c r="H26" s="515">
        <f t="shared" si="1"/>
        <v>465766</v>
      </c>
      <c r="I26" s="520"/>
      <c r="J26" s="520"/>
    </row>
    <row r="27" spans="1:10" ht="12.75">
      <c r="A27" s="509">
        <v>3818</v>
      </c>
      <c r="B27" s="510" t="s">
        <v>1233</v>
      </c>
      <c r="C27" s="511"/>
      <c r="D27" s="512"/>
      <c r="E27" s="516"/>
      <c r="F27" s="501">
        <v>70000</v>
      </c>
      <c r="G27" s="514"/>
      <c r="H27" s="515">
        <f>SUM(E27:G27)</f>
        <v>70000</v>
      </c>
      <c r="I27" s="485">
        <v>70000</v>
      </c>
      <c r="J27" s="485"/>
    </row>
    <row r="28" spans="1:10" ht="12.75">
      <c r="A28" s="509">
        <v>3843</v>
      </c>
      <c r="B28" s="510" t="s">
        <v>1234</v>
      </c>
      <c r="C28" s="511"/>
      <c r="D28" s="512"/>
      <c r="E28" s="516"/>
      <c r="F28" s="501">
        <v>100000</v>
      </c>
      <c r="G28" s="514"/>
      <c r="H28" s="515">
        <f>SUM(E28:G28)</f>
        <v>100000</v>
      </c>
      <c r="I28" s="485">
        <v>50000</v>
      </c>
      <c r="J28" s="485"/>
    </row>
    <row r="29" spans="1:11" ht="12.75">
      <c r="A29" s="527" t="s">
        <v>1235</v>
      </c>
      <c r="B29" s="528"/>
      <c r="C29" s="529"/>
      <c r="D29" s="506"/>
      <c r="E29" s="530">
        <f>SUM(E13:E28)</f>
        <v>400000</v>
      </c>
      <c r="F29" s="531">
        <f>SUM(F13:F28)</f>
        <v>3117331.84</v>
      </c>
      <c r="G29" s="531">
        <f>SUM(G13:G28)</f>
        <v>276998.18</v>
      </c>
      <c r="H29" s="532">
        <f>SUM(H13:H28)</f>
        <v>3794330.02</v>
      </c>
      <c r="I29" s="533">
        <f>SUM(I17:I26)</f>
        <v>0</v>
      </c>
      <c r="J29" s="532">
        <f>SUM(J17:J26)</f>
        <v>0</v>
      </c>
      <c r="K29" s="522">
        <f>G20/L20</f>
        <v>0.5632097830738338</v>
      </c>
    </row>
    <row r="30" spans="1:10" ht="12.75">
      <c r="A30" s="534" t="s">
        <v>1236</v>
      </c>
      <c r="B30" s="958" t="s">
        <v>1237</v>
      </c>
      <c r="C30" s="959"/>
      <c r="D30" s="960"/>
      <c r="E30" s="507" t="s">
        <v>1215</v>
      </c>
      <c r="F30" s="535" t="s">
        <v>1238</v>
      </c>
      <c r="G30" s="535" t="s">
        <v>1162</v>
      </c>
      <c r="H30" s="535" t="s">
        <v>1239</v>
      </c>
      <c r="I30" s="520"/>
      <c r="J30" s="520"/>
    </row>
    <row r="31" spans="1:10" ht="15">
      <c r="A31" s="534" t="s">
        <v>1240</v>
      </c>
      <c r="B31" s="510" t="s">
        <v>1241</v>
      </c>
      <c r="C31" s="511"/>
      <c r="D31" s="512"/>
      <c r="E31" s="536"/>
      <c r="F31" s="501">
        <v>497618.7</v>
      </c>
      <c r="G31" s="530"/>
      <c r="H31" s="515">
        <f aca="true" t="shared" si="2" ref="H31:H51">SUM(E31:G31)</f>
        <v>497618.7</v>
      </c>
      <c r="I31" s="520"/>
      <c r="J31" s="520"/>
    </row>
    <row r="32" spans="1:10" ht="15">
      <c r="A32" s="534" t="s">
        <v>1242</v>
      </c>
      <c r="B32" s="510" t="s">
        <v>1243</v>
      </c>
      <c r="C32" s="537"/>
      <c r="D32" s="511"/>
      <c r="E32" s="536"/>
      <c r="F32" s="501">
        <v>585073.28</v>
      </c>
      <c r="G32" s="530">
        <v>52000</v>
      </c>
      <c r="H32" s="515">
        <f>SUM(E32:G32)</f>
        <v>637073.28</v>
      </c>
      <c r="I32" s="520"/>
      <c r="J32" s="520"/>
    </row>
    <row r="33" spans="1:10" ht="15">
      <c r="A33" s="534" t="s">
        <v>1242</v>
      </c>
      <c r="B33" s="943" t="s">
        <v>1244</v>
      </c>
      <c r="C33" s="944"/>
      <c r="D33" s="945"/>
      <c r="E33" s="536"/>
      <c r="F33" s="501">
        <v>658000</v>
      </c>
      <c r="G33" s="530">
        <v>58000</v>
      </c>
      <c r="H33" s="515">
        <f>SUM(E33:G33)</f>
        <v>716000</v>
      </c>
      <c r="I33" s="520"/>
      <c r="J33" s="520"/>
    </row>
    <row r="34" spans="1:10" ht="15">
      <c r="A34" s="534" t="s">
        <v>1242</v>
      </c>
      <c r="B34" s="943" t="s">
        <v>1245</v>
      </c>
      <c r="C34" s="944"/>
      <c r="D34" s="945"/>
      <c r="E34" s="536"/>
      <c r="F34" s="501">
        <v>157505.44</v>
      </c>
      <c r="G34" s="530"/>
      <c r="H34" s="515">
        <f>SUM(E34:G34)</f>
        <v>157505.44</v>
      </c>
      <c r="I34" s="520"/>
      <c r="J34" s="520"/>
    </row>
    <row r="35" spans="1:10" ht="15">
      <c r="A35" s="534" t="s">
        <v>1199</v>
      </c>
      <c r="B35" s="943" t="s">
        <v>1246</v>
      </c>
      <c r="C35" s="944"/>
      <c r="D35" s="945"/>
      <c r="E35" s="536"/>
      <c r="F35" s="501">
        <v>1225508.77</v>
      </c>
      <c r="G35" s="530">
        <v>136167.64</v>
      </c>
      <c r="H35" s="515">
        <f t="shared" si="2"/>
        <v>1361676.4100000001</v>
      </c>
      <c r="I35" s="520"/>
      <c r="J35" s="520"/>
    </row>
    <row r="36" spans="1:10" ht="15">
      <c r="A36" s="534" t="s">
        <v>1199</v>
      </c>
      <c r="B36" s="943" t="s">
        <v>1247</v>
      </c>
      <c r="C36" s="944"/>
      <c r="D36" s="945"/>
      <c r="E36" s="536"/>
      <c r="F36" s="501"/>
      <c r="G36" s="530">
        <v>647216.2</v>
      </c>
      <c r="H36" s="515">
        <f t="shared" si="2"/>
        <v>647216.2</v>
      </c>
      <c r="I36" s="520"/>
      <c r="J36" s="520"/>
    </row>
    <row r="37" spans="1:10" ht="15">
      <c r="A37" s="534" t="s">
        <v>1199</v>
      </c>
      <c r="B37" s="943" t="s">
        <v>1248</v>
      </c>
      <c r="C37" s="944"/>
      <c r="D37" s="945"/>
      <c r="E37" s="536"/>
      <c r="F37" s="501"/>
      <c r="G37" s="530">
        <v>318964.9</v>
      </c>
      <c r="H37" s="515">
        <f t="shared" si="2"/>
        <v>318964.9</v>
      </c>
      <c r="I37" s="520"/>
      <c r="J37" s="520"/>
    </row>
    <row r="38" spans="1:10" ht="15">
      <c r="A38" s="534" t="s">
        <v>1199</v>
      </c>
      <c r="B38" s="943" t="s">
        <v>1249</v>
      </c>
      <c r="C38" s="944"/>
      <c r="D38" s="945"/>
      <c r="E38" s="536"/>
      <c r="F38" s="501"/>
      <c r="G38" s="530">
        <v>324971.57</v>
      </c>
      <c r="H38" s="515">
        <f t="shared" si="2"/>
        <v>324971.57</v>
      </c>
      <c r="I38" s="520"/>
      <c r="J38" s="520"/>
    </row>
    <row r="39" spans="1:10" ht="15">
      <c r="A39" s="534" t="s">
        <v>1199</v>
      </c>
      <c r="B39" s="943" t="s">
        <v>1250</v>
      </c>
      <c r="C39" s="944"/>
      <c r="D39" s="945"/>
      <c r="E39" s="536"/>
      <c r="F39" s="501"/>
      <c r="G39" s="530">
        <v>356380.21</v>
      </c>
      <c r="H39" s="515">
        <f t="shared" si="2"/>
        <v>356380.21</v>
      </c>
      <c r="I39" s="520"/>
      <c r="J39" s="520"/>
    </row>
    <row r="40" spans="1:10" ht="15">
      <c r="A40" s="534" t="s">
        <v>1199</v>
      </c>
      <c r="B40" s="943" t="s">
        <v>1251</v>
      </c>
      <c r="C40" s="944"/>
      <c r="D40" s="945"/>
      <c r="E40" s="536"/>
      <c r="F40" s="501"/>
      <c r="G40" s="530">
        <v>225488.2</v>
      </c>
      <c r="H40" s="515">
        <f t="shared" si="2"/>
        <v>225488.2</v>
      </c>
      <c r="I40" s="520"/>
      <c r="J40" s="520"/>
    </row>
    <row r="41" spans="1:10" ht="15">
      <c r="A41" s="534" t="s">
        <v>1199</v>
      </c>
      <c r="B41" s="943" t="s">
        <v>1252</v>
      </c>
      <c r="C41" s="944"/>
      <c r="D41" s="945"/>
      <c r="E41" s="536"/>
      <c r="F41" s="501"/>
      <c r="G41" s="530">
        <v>244757.1</v>
      </c>
      <c r="H41" s="515">
        <f t="shared" si="2"/>
        <v>244757.1</v>
      </c>
      <c r="I41" s="520"/>
      <c r="J41" s="520"/>
    </row>
    <row r="42" spans="1:10" ht="15">
      <c r="A42" s="534" t="s">
        <v>1199</v>
      </c>
      <c r="B42" s="943" t="s">
        <v>1253</v>
      </c>
      <c r="C42" s="944"/>
      <c r="D42" s="945"/>
      <c r="E42" s="536"/>
      <c r="F42" s="501"/>
      <c r="G42" s="530">
        <v>294501.65</v>
      </c>
      <c r="H42" s="515">
        <f t="shared" si="2"/>
        <v>294501.65</v>
      </c>
      <c r="I42" s="520"/>
      <c r="J42" s="520"/>
    </row>
    <row r="43" spans="1:10" ht="12.75">
      <c r="A43" s="534" t="s">
        <v>1208</v>
      </c>
      <c r="B43" s="510" t="s">
        <v>1254</v>
      </c>
      <c r="C43" s="511"/>
      <c r="D43" s="512"/>
      <c r="E43" s="534"/>
      <c r="F43" s="501">
        <v>151088.45</v>
      </c>
      <c r="G43" s="530">
        <v>1088.48</v>
      </c>
      <c r="H43" s="515">
        <f t="shared" si="2"/>
        <v>152176.93000000002</v>
      </c>
      <c r="I43" s="520"/>
      <c r="J43" s="520"/>
    </row>
    <row r="44" spans="1:10" ht="15">
      <c r="A44" s="534" t="s">
        <v>1208</v>
      </c>
      <c r="B44" s="943" t="s">
        <v>1255</v>
      </c>
      <c r="C44" s="944"/>
      <c r="D44" s="945"/>
      <c r="E44" s="536"/>
      <c r="F44" s="501"/>
      <c r="G44" s="530">
        <v>2221244.79</v>
      </c>
      <c r="H44" s="515">
        <f t="shared" si="2"/>
        <v>2221244.79</v>
      </c>
      <c r="I44" s="520"/>
      <c r="J44" s="520"/>
    </row>
    <row r="45" spans="1:10" ht="15">
      <c r="A45" s="534" t="s">
        <v>1208</v>
      </c>
      <c r="B45" s="943" t="s">
        <v>1256</v>
      </c>
      <c r="C45" s="944"/>
      <c r="D45" s="945"/>
      <c r="E45" s="536"/>
      <c r="F45" s="501"/>
      <c r="G45" s="530">
        <v>919680.19</v>
      </c>
      <c r="H45" s="515">
        <f t="shared" si="2"/>
        <v>919680.19</v>
      </c>
      <c r="I45" s="520"/>
      <c r="J45" s="520"/>
    </row>
    <row r="46" spans="1:10" ht="15">
      <c r="A46" s="534" t="s">
        <v>1208</v>
      </c>
      <c r="B46" s="943" t="s">
        <v>1257</v>
      </c>
      <c r="C46" s="944"/>
      <c r="D46" s="945"/>
      <c r="E46" s="536"/>
      <c r="F46" s="501"/>
      <c r="G46" s="530">
        <v>289325</v>
      </c>
      <c r="H46" s="515">
        <f t="shared" si="2"/>
        <v>289325</v>
      </c>
      <c r="I46" s="520"/>
      <c r="J46" s="520"/>
    </row>
    <row r="47" spans="1:10" ht="15">
      <c r="A47" s="534" t="s">
        <v>1208</v>
      </c>
      <c r="B47" s="943" t="s">
        <v>1258</v>
      </c>
      <c r="C47" s="944"/>
      <c r="D47" s="945"/>
      <c r="E47" s="536"/>
      <c r="F47" s="501"/>
      <c r="G47" s="530">
        <v>75000</v>
      </c>
      <c r="H47" s="515">
        <f t="shared" si="2"/>
        <v>75000</v>
      </c>
      <c r="I47" s="520"/>
      <c r="J47" s="520"/>
    </row>
    <row r="48" spans="1:10" ht="15">
      <c r="A48" s="534" t="s">
        <v>1208</v>
      </c>
      <c r="B48" s="943" t="s">
        <v>1259</v>
      </c>
      <c r="C48" s="944"/>
      <c r="D48" s="945"/>
      <c r="E48" s="536"/>
      <c r="F48" s="501"/>
      <c r="G48" s="530">
        <v>342188.72</v>
      </c>
      <c r="H48" s="515">
        <f t="shared" si="2"/>
        <v>342188.72</v>
      </c>
      <c r="I48" s="520"/>
      <c r="J48" s="520"/>
    </row>
    <row r="49" spans="1:10" ht="12" customHeight="1">
      <c r="A49" s="534" t="s">
        <v>1260</v>
      </c>
      <c r="B49" s="535" t="s">
        <v>1261</v>
      </c>
      <c r="C49" s="512" t="s">
        <v>1262</v>
      </c>
      <c r="D49" s="512"/>
      <c r="E49" s="507"/>
      <c r="F49" s="538">
        <v>127890.96</v>
      </c>
      <c r="G49" s="538">
        <v>43461.36</v>
      </c>
      <c r="H49" s="515">
        <f t="shared" si="2"/>
        <v>171352.32</v>
      </c>
      <c r="I49" s="520"/>
      <c r="J49" s="520"/>
    </row>
    <row r="50" spans="1:10" ht="15">
      <c r="A50" s="534" t="s">
        <v>1260</v>
      </c>
      <c r="B50" s="943" t="s">
        <v>1263</v>
      </c>
      <c r="C50" s="944"/>
      <c r="D50" s="945"/>
      <c r="E50" s="501">
        <v>131091</v>
      </c>
      <c r="F50" s="501"/>
      <c r="G50" s="539"/>
      <c r="H50" s="515">
        <f t="shared" si="2"/>
        <v>131091</v>
      </c>
      <c r="I50" s="520"/>
      <c r="J50" s="520"/>
    </row>
    <row r="51" spans="1:10" ht="15">
      <c r="A51" s="534" t="s">
        <v>1210</v>
      </c>
      <c r="B51" s="510" t="s">
        <v>1264</v>
      </c>
      <c r="C51" s="511"/>
      <c r="D51" s="512"/>
      <c r="E51" s="501">
        <v>150000</v>
      </c>
      <c r="F51" s="501"/>
      <c r="G51" s="539"/>
      <c r="H51" s="515">
        <f t="shared" si="2"/>
        <v>150000</v>
      </c>
      <c r="I51" s="520"/>
      <c r="J51" s="520"/>
    </row>
    <row r="52" spans="1:10" ht="15">
      <c r="A52" s="534" t="s">
        <v>1206</v>
      </c>
      <c r="B52" s="510" t="s">
        <v>1265</v>
      </c>
      <c r="C52" s="511"/>
      <c r="D52" s="512"/>
      <c r="E52" s="536"/>
      <c r="F52" s="501">
        <v>250000</v>
      </c>
      <c r="G52" s="539"/>
      <c r="H52" s="515">
        <f>SUM(E52:G52)</f>
        <v>250000</v>
      </c>
      <c r="I52" s="520"/>
      <c r="J52" s="520"/>
    </row>
    <row r="53" spans="1:10" ht="12.75">
      <c r="A53" s="955" t="s">
        <v>1266</v>
      </c>
      <c r="B53" s="956"/>
      <c r="C53" s="956"/>
      <c r="D53" s="957"/>
      <c r="E53" s="540">
        <f aca="true" t="shared" si="3" ref="E53:J53">SUM(E31:E52)</f>
        <v>281091</v>
      </c>
      <c r="F53" s="540">
        <f t="shared" si="3"/>
        <v>3652685.6</v>
      </c>
      <c r="G53" s="540">
        <f t="shared" si="3"/>
        <v>6550436.01</v>
      </c>
      <c r="H53" s="540">
        <f t="shared" si="3"/>
        <v>10484212.610000001</v>
      </c>
      <c r="I53" s="540">
        <f t="shared" si="3"/>
        <v>0</v>
      </c>
      <c r="J53" s="540">
        <f t="shared" si="3"/>
        <v>0</v>
      </c>
    </row>
    <row r="54" spans="1:8" ht="12.75">
      <c r="A54" s="541"/>
      <c r="B54" s="542"/>
      <c r="C54" s="543" t="s">
        <v>1267</v>
      </c>
      <c r="D54" s="543"/>
      <c r="E54" s="544">
        <f>E29+E53</f>
        <v>681091</v>
      </c>
      <c r="F54" s="544">
        <f>F11+F29+F53</f>
        <v>9115464.44</v>
      </c>
      <c r="G54" s="544">
        <f>G11+G29+G53</f>
        <v>7301482.75</v>
      </c>
      <c r="H54" s="544">
        <f>H11+H29+H53</f>
        <v>17098038.19</v>
      </c>
    </row>
    <row r="55" spans="1:14" ht="12.75">
      <c r="A55" s="75"/>
      <c r="B55" s="75"/>
      <c r="C55" s="75"/>
      <c r="D55" s="75"/>
      <c r="E55" s="75"/>
      <c r="F55" s="75"/>
      <c r="G55" s="75"/>
      <c r="H55" s="518">
        <f>H54-(F66+G66+C66+D66)</f>
        <v>-6624.079999998212</v>
      </c>
      <c r="M55" s="75"/>
      <c r="N55" s="75"/>
    </row>
    <row r="56" spans="1:14" ht="12.75">
      <c r="A56" s="961" t="s">
        <v>1237</v>
      </c>
      <c r="B56" s="961"/>
      <c r="C56" s="545"/>
      <c r="D56" s="546">
        <v>2022</v>
      </c>
      <c r="E56" s="547"/>
      <c r="F56" s="548"/>
      <c r="G56" s="549">
        <v>2023</v>
      </c>
      <c r="H56" s="547"/>
      <c r="M56" s="75"/>
      <c r="N56" s="75"/>
    </row>
    <row r="57" spans="1:14" s="168" customFormat="1" ht="12.75">
      <c r="A57" s="962"/>
      <c r="B57" s="691"/>
      <c r="C57" s="550" t="s">
        <v>1163</v>
      </c>
      <c r="D57" s="495" t="s">
        <v>1198</v>
      </c>
      <c r="E57" s="551" t="s">
        <v>1268</v>
      </c>
      <c r="F57" s="550" t="s">
        <v>1163</v>
      </c>
      <c r="G57" s="495" t="s">
        <v>1198</v>
      </c>
      <c r="H57" s="551" t="s">
        <v>1268</v>
      </c>
      <c r="K57" s="434"/>
      <c r="L57" s="434"/>
      <c r="M57" s="434"/>
      <c r="N57" s="434"/>
    </row>
    <row r="58" spans="1:14" s="168" customFormat="1" ht="12.75">
      <c r="A58" s="963" t="s">
        <v>1240</v>
      </c>
      <c r="B58" s="963"/>
      <c r="C58" s="552">
        <f>K14</f>
        <v>82289.58000000002</v>
      </c>
      <c r="D58" s="552">
        <f>L14</f>
        <v>48290.29999999999</v>
      </c>
      <c r="E58" s="553">
        <f>SUM(C58:D58)</f>
        <v>130579.88</v>
      </c>
      <c r="F58" s="554">
        <f>SUM(F13:F14)+F31-C58</f>
        <v>1083144.9</v>
      </c>
      <c r="G58" s="554">
        <f>SUM(G13:G14)+G31-D58</f>
        <v>128044.5</v>
      </c>
      <c r="H58" s="554">
        <f>SUM(F58:G58)</f>
        <v>1211189.4</v>
      </c>
      <c r="K58" s="434"/>
      <c r="L58" s="434"/>
      <c r="M58" s="434"/>
      <c r="N58" s="434"/>
    </row>
    <row r="59" spans="1:14" s="168" customFormat="1" ht="12.75">
      <c r="A59" s="963" t="s">
        <v>1269</v>
      </c>
      <c r="B59" s="963"/>
      <c r="C59" s="552">
        <f>F15</f>
        <v>249682</v>
      </c>
      <c r="D59" s="555"/>
      <c r="E59" s="553">
        <f aca="true" t="shared" si="4" ref="E59:E65">SUM(C59:D59)</f>
        <v>249682</v>
      </c>
      <c r="F59" s="552">
        <f>F15-C59</f>
        <v>0</v>
      </c>
      <c r="G59" s="552">
        <f>G15</f>
        <v>0</v>
      </c>
      <c r="H59" s="554">
        <f aca="true" t="shared" si="5" ref="H59:H65">SUM(F59:G59)</f>
        <v>0</v>
      </c>
      <c r="K59" s="434"/>
      <c r="L59" s="434"/>
      <c r="M59" s="434"/>
      <c r="N59" s="434"/>
    </row>
    <row r="60" spans="1:14" ht="12.75">
      <c r="A60" s="964" t="s">
        <v>1242</v>
      </c>
      <c r="B60" s="964"/>
      <c r="C60" s="556"/>
      <c r="D60" s="556"/>
      <c r="E60" s="553">
        <f t="shared" si="4"/>
        <v>0</v>
      </c>
      <c r="F60" s="556">
        <f>SUM(E16:F17)+SUM(F32:F34)</f>
        <v>2102306.13</v>
      </c>
      <c r="G60" s="556">
        <f>SUM(G16:G17)+SUM(G32:G34)</f>
        <v>176858.6</v>
      </c>
      <c r="H60" s="554">
        <f t="shared" si="5"/>
        <v>2279164.73</v>
      </c>
      <c r="N60" s="75"/>
    </row>
    <row r="61" spans="1:14" ht="12.75">
      <c r="A61" s="964" t="s">
        <v>1199</v>
      </c>
      <c r="B61" s="964"/>
      <c r="C61" s="556">
        <f>SUM(F38:F42)+40000+124228.27</f>
        <v>164228.27000000002</v>
      </c>
      <c r="D61" s="557">
        <f>SUM(G38:G42)+G19+20631.8</f>
        <v>1499850.92</v>
      </c>
      <c r="E61" s="553">
        <f t="shared" si="4"/>
        <v>1664079.19</v>
      </c>
      <c r="F61" s="556">
        <f>SUM(F2:F7)+SUM(F18:F23)+SUM(F35:F42)-C61</f>
        <v>3734323.15</v>
      </c>
      <c r="G61" s="556">
        <f>SUM(G2:G7)+SUM(G18:G23)+SUM(G35:G42)+6624.08-D61</f>
        <v>1199233.2399999998</v>
      </c>
      <c r="H61" s="554">
        <f t="shared" si="5"/>
        <v>4933556.39</v>
      </c>
      <c r="N61" s="75"/>
    </row>
    <row r="62" spans="1:14" ht="12.75">
      <c r="A62" s="964" t="s">
        <v>1208</v>
      </c>
      <c r="B62" s="964"/>
      <c r="C62" s="556"/>
      <c r="D62" s="556"/>
      <c r="E62" s="553">
        <f t="shared" si="4"/>
        <v>0</v>
      </c>
      <c r="F62" s="556">
        <f>F9+SUM(F43:F48)</f>
        <v>389838.45</v>
      </c>
      <c r="G62" s="556">
        <f>G9+SUM(G43:G48)</f>
        <v>4150655.78</v>
      </c>
      <c r="H62" s="554">
        <f t="shared" si="5"/>
        <v>4540494.2299999995</v>
      </c>
      <c r="N62" s="75"/>
    </row>
    <row r="63" spans="1:14" ht="12.75">
      <c r="A63" s="964" t="s">
        <v>1260</v>
      </c>
      <c r="B63" s="964"/>
      <c r="C63" s="556">
        <f>F25+F49</f>
        <v>227890.96000000002</v>
      </c>
      <c r="D63" s="556">
        <f>G49</f>
        <v>43461.36</v>
      </c>
      <c r="E63" s="553">
        <f t="shared" si="4"/>
        <v>271352.32</v>
      </c>
      <c r="F63" s="556">
        <f>SUM(F24:F26)+SUM(E49:F50)-C63</f>
        <v>842577</v>
      </c>
      <c r="G63" s="556">
        <f>SUM(G24:G26)+SUM(G49:G50)-D63</f>
        <v>0</v>
      </c>
      <c r="H63" s="554">
        <f t="shared" si="5"/>
        <v>842577</v>
      </c>
      <c r="N63" s="75"/>
    </row>
    <row r="64" spans="1:14" ht="12.75">
      <c r="A64" s="964" t="s">
        <v>1210</v>
      </c>
      <c r="B64" s="964"/>
      <c r="C64" s="556"/>
      <c r="D64" s="556"/>
      <c r="E64" s="553">
        <f t="shared" si="4"/>
        <v>0</v>
      </c>
      <c r="F64" s="556">
        <f>F10+E51+F51</f>
        <v>400000</v>
      </c>
      <c r="G64" s="556">
        <f>G10+G51</f>
        <v>54276.84</v>
      </c>
      <c r="H64" s="554">
        <f t="shared" si="5"/>
        <v>454276.83999999997</v>
      </c>
      <c r="N64" s="75"/>
    </row>
    <row r="65" spans="1:14" ht="12.75">
      <c r="A65" s="964" t="s">
        <v>1206</v>
      </c>
      <c r="B65" s="964"/>
      <c r="C65" s="556">
        <f>I28+F8</f>
        <v>150275</v>
      </c>
      <c r="D65" s="556">
        <f>G8</f>
        <v>7435.29</v>
      </c>
      <c r="E65" s="553">
        <f t="shared" si="4"/>
        <v>157710.29</v>
      </c>
      <c r="F65" s="556">
        <f>F8+SUM(F27:F28)+F52-C65</f>
        <v>370000</v>
      </c>
      <c r="G65" s="556">
        <f>G8+SUM(G27:G28)+G52-D65</f>
        <v>0</v>
      </c>
      <c r="H65" s="554">
        <f t="shared" si="5"/>
        <v>370000</v>
      </c>
      <c r="N65" s="75"/>
    </row>
    <row r="66" spans="1:14" ht="12.75">
      <c r="A66" s="965" t="s">
        <v>1239</v>
      </c>
      <c r="B66" s="965"/>
      <c r="C66" s="485">
        <f aca="true" t="shared" si="6" ref="C66:H66">SUM(C58:C65)</f>
        <v>874365.81</v>
      </c>
      <c r="D66" s="485">
        <f t="shared" si="6"/>
        <v>1599037.87</v>
      </c>
      <c r="E66" s="472">
        <f>SUM(E58:E65)</f>
        <v>2473403.6799999997</v>
      </c>
      <c r="F66" s="485">
        <f t="shared" si="6"/>
        <v>8922189.629999999</v>
      </c>
      <c r="G66" s="485">
        <f t="shared" si="6"/>
        <v>5709068.959999999</v>
      </c>
      <c r="H66" s="485">
        <f t="shared" si="6"/>
        <v>14631258.59</v>
      </c>
      <c r="L66" s="518"/>
      <c r="N66" s="75"/>
    </row>
    <row r="67" spans="1:14" ht="12.75">
      <c r="A67" s="75"/>
      <c r="B67" s="75"/>
      <c r="G67" s="518">
        <f>G66-(G54-D66)</f>
        <v>6624.079999999143</v>
      </c>
      <c r="H67" s="75" t="s">
        <v>1270</v>
      </c>
      <c r="L67" s="518"/>
      <c r="N67" s="75"/>
    </row>
    <row r="68" spans="1:14" ht="12.75">
      <c r="A68" s="75"/>
      <c r="B68" s="75"/>
      <c r="C68" s="75"/>
      <c r="D68" s="75"/>
      <c r="N68" s="75"/>
    </row>
    <row r="69" spans="1:14" ht="12.75">
      <c r="A69" s="75"/>
      <c r="B69" s="75"/>
      <c r="C69" s="75"/>
      <c r="D69" s="75"/>
      <c r="E69" s="75"/>
      <c r="F69" s="75"/>
      <c r="G69" s="75"/>
      <c r="H69" s="75"/>
      <c r="M69" s="75"/>
      <c r="N69" s="75"/>
    </row>
    <row r="70" spans="1:14" ht="12.75">
      <c r="A70" s="75"/>
      <c r="B70" s="75"/>
      <c r="C70" s="558" t="s">
        <v>1178</v>
      </c>
      <c r="D70" s="559"/>
      <c r="E70" s="75"/>
      <c r="F70" s="75"/>
      <c r="G70" s="75"/>
      <c r="H70" s="75"/>
      <c r="M70" s="75"/>
      <c r="N70" s="75"/>
    </row>
    <row r="71" spans="1:14" ht="12.75">
      <c r="A71" s="75"/>
      <c r="B71" s="75"/>
      <c r="C71" s="484" t="s">
        <v>1179</v>
      </c>
      <c r="D71" s="485">
        <v>3993014</v>
      </c>
      <c r="E71" s="75"/>
      <c r="F71" s="75"/>
      <c r="G71" s="75"/>
      <c r="H71" s="75"/>
      <c r="M71" s="75"/>
      <c r="N71" s="75"/>
    </row>
    <row r="72" spans="1:14" ht="12.75">
      <c r="A72" s="75"/>
      <c r="B72" s="75"/>
      <c r="C72" s="484" t="s">
        <v>1180</v>
      </c>
      <c r="D72" s="559">
        <v>181315</v>
      </c>
      <c r="E72" s="75"/>
      <c r="F72" s="75"/>
      <c r="G72" s="75"/>
      <c r="H72" s="75"/>
      <c r="M72" s="75"/>
      <c r="N72" s="75"/>
    </row>
    <row r="73" spans="1:14" ht="12.75">
      <c r="A73" s="75"/>
      <c r="B73" s="75"/>
      <c r="C73" s="560" t="s">
        <v>1181</v>
      </c>
      <c r="D73" s="561">
        <v>150444</v>
      </c>
      <c r="E73" s="75"/>
      <c r="F73" s="75"/>
      <c r="G73" s="75"/>
      <c r="H73" s="75"/>
      <c r="M73" s="75"/>
      <c r="N73" s="75"/>
    </row>
    <row r="74" spans="1:14" ht="12.75">
      <c r="A74" s="75"/>
      <c r="B74" s="75"/>
      <c r="C74" s="486" t="s">
        <v>1182</v>
      </c>
      <c r="D74" s="561">
        <v>54134</v>
      </c>
      <c r="E74" s="75"/>
      <c r="F74" s="75"/>
      <c r="G74" s="75"/>
      <c r="H74" s="75"/>
      <c r="M74" s="75"/>
      <c r="N74" s="75"/>
    </row>
    <row r="75" spans="1:14" ht="12.75">
      <c r="A75" s="75"/>
      <c r="B75" s="75"/>
      <c r="C75" s="484" t="s">
        <v>1183</v>
      </c>
      <c r="D75" s="485">
        <v>3017640</v>
      </c>
      <c r="E75" s="75"/>
      <c r="F75" s="75"/>
      <c r="G75" s="75"/>
      <c r="H75" s="75"/>
      <c r="M75" s="75"/>
      <c r="N75" s="75"/>
    </row>
    <row r="76" spans="1:14" ht="12.75">
      <c r="A76" s="75"/>
      <c r="B76" s="75"/>
      <c r="C76" s="484" t="s">
        <v>1184</v>
      </c>
      <c r="D76" s="485">
        <v>1447994</v>
      </c>
      <c r="E76" s="75"/>
      <c r="F76" s="75"/>
      <c r="G76" s="75"/>
      <c r="H76" s="75"/>
      <c r="M76" s="75"/>
      <c r="N76" s="75"/>
    </row>
    <row r="77" spans="1:14" ht="12.75">
      <c r="A77" s="75"/>
      <c r="B77" s="75"/>
      <c r="C77" s="484" t="s">
        <v>1185</v>
      </c>
      <c r="D77" s="559">
        <v>0</v>
      </c>
      <c r="E77" s="75"/>
      <c r="F77" s="75"/>
      <c r="G77" s="75"/>
      <c r="H77" s="75"/>
      <c r="M77" s="75"/>
      <c r="N77" s="75"/>
    </row>
    <row r="78" spans="1:14" ht="12.75">
      <c r="A78" s="75"/>
      <c r="B78" s="75"/>
      <c r="C78" s="486" t="s">
        <v>1186</v>
      </c>
      <c r="D78" s="487">
        <v>1361814</v>
      </c>
      <c r="E78" s="75"/>
      <c r="F78" s="75"/>
      <c r="G78" s="75"/>
      <c r="H78" s="75"/>
      <c r="M78" s="75"/>
      <c r="N78" s="75"/>
    </row>
    <row r="79" spans="1:14" ht="12.75">
      <c r="A79" s="75"/>
      <c r="B79" s="75"/>
      <c r="C79" s="484" t="s">
        <v>1187</v>
      </c>
      <c r="D79" s="485">
        <v>6236509</v>
      </c>
      <c r="E79" s="75"/>
      <c r="F79" s="75"/>
      <c r="G79" s="75"/>
      <c r="H79" s="75"/>
      <c r="M79" s="75"/>
      <c r="N79" s="75"/>
    </row>
    <row r="80" spans="1:14" ht="12.75">
      <c r="A80" s="75"/>
      <c r="B80" s="75"/>
      <c r="C80" s="484" t="s">
        <v>1188</v>
      </c>
      <c r="D80" s="485">
        <v>1411929</v>
      </c>
      <c r="E80" s="75"/>
      <c r="F80" s="75"/>
      <c r="G80" s="75"/>
      <c r="H80" s="75"/>
      <c r="M80" s="75"/>
      <c r="N80" s="75"/>
    </row>
    <row r="81" spans="1:14" ht="12.75">
      <c r="A81" s="75"/>
      <c r="B81" s="75"/>
      <c r="C81" s="484" t="s">
        <v>1189</v>
      </c>
      <c r="D81" s="559">
        <v>344187</v>
      </c>
      <c r="E81" s="75"/>
      <c r="F81" s="75"/>
      <c r="G81" s="75"/>
      <c r="H81" s="75"/>
      <c r="M81" s="75"/>
      <c r="N81" s="75"/>
    </row>
    <row r="82" spans="1:14" ht="12.75">
      <c r="A82" s="75"/>
      <c r="B82" s="75"/>
      <c r="C82" s="484" t="s">
        <v>1190</v>
      </c>
      <c r="D82" s="485">
        <v>10827066</v>
      </c>
      <c r="E82" s="75"/>
      <c r="F82" s="75"/>
      <c r="G82" s="75"/>
      <c r="H82" s="75"/>
      <c r="M82" s="75"/>
      <c r="N82" s="75"/>
    </row>
    <row r="83" spans="1:14" ht="12.75">
      <c r="A83" s="75"/>
      <c r="B83" s="75"/>
      <c r="C83" s="484" t="s">
        <v>1191</v>
      </c>
      <c r="D83" s="485">
        <v>1183028</v>
      </c>
      <c r="E83" s="75"/>
      <c r="F83" s="75"/>
      <c r="G83" s="75"/>
      <c r="H83" s="75"/>
      <c r="M83" s="75"/>
      <c r="N83" s="75"/>
    </row>
    <row r="84" spans="1:14" ht="12.75">
      <c r="A84" s="75"/>
      <c r="B84" s="75"/>
      <c r="C84" s="484" t="s">
        <v>1271</v>
      </c>
      <c r="D84" s="485">
        <f>SUM(D71:D83)</f>
        <v>30209074</v>
      </c>
      <c r="E84" s="75"/>
      <c r="F84" s="75"/>
      <c r="G84" s="75"/>
      <c r="H84" s="75"/>
      <c r="M84" s="75"/>
      <c r="N84" s="75"/>
    </row>
    <row r="85" spans="1:14" ht="12.75">
      <c r="A85" s="75"/>
      <c r="B85" s="75"/>
      <c r="D85" s="483">
        <f>30209073-D84</f>
        <v>-1</v>
      </c>
      <c r="E85" s="75"/>
      <c r="F85" s="75"/>
      <c r="G85" s="75"/>
      <c r="H85" s="75"/>
      <c r="M85" s="75"/>
      <c r="N85" s="75"/>
    </row>
    <row r="86" spans="1:14" ht="12.75">
      <c r="A86" s="75"/>
      <c r="B86" s="75"/>
      <c r="C86" s="75"/>
      <c r="D86" s="75"/>
      <c r="E86" s="75"/>
      <c r="F86" s="75"/>
      <c r="G86" s="75"/>
      <c r="H86" s="75"/>
      <c r="M86" s="75"/>
      <c r="N86" s="75"/>
    </row>
    <row r="87" spans="1:14" ht="12.75">
      <c r="A87" s="75"/>
      <c r="B87" s="75"/>
      <c r="C87" s="75"/>
      <c r="D87" s="75"/>
      <c r="E87" s="75"/>
      <c r="F87" s="75"/>
      <c r="G87" s="75"/>
      <c r="H87" s="75"/>
      <c r="M87" s="75"/>
      <c r="N87" s="75"/>
    </row>
    <row r="88" spans="1:14" ht="12.75">
      <c r="A88" s="75"/>
      <c r="B88" s="75"/>
      <c r="C88" s="75"/>
      <c r="D88" s="75"/>
      <c r="E88" s="75"/>
      <c r="F88" s="75"/>
      <c r="G88" s="75"/>
      <c r="H88" s="75"/>
      <c r="M88" s="75"/>
      <c r="N88" s="75"/>
    </row>
    <row r="89" spans="1:14" ht="12.75">
      <c r="A89" s="75"/>
      <c r="B89" s="75"/>
      <c r="C89" s="75"/>
      <c r="D89" s="75"/>
      <c r="E89" s="75"/>
      <c r="F89" s="75"/>
      <c r="G89" s="75"/>
      <c r="H89" s="75"/>
      <c r="M89" s="75"/>
      <c r="N89" s="75"/>
    </row>
    <row r="90" spans="1:14" ht="12.75">
      <c r="A90" s="75"/>
      <c r="B90" s="75"/>
      <c r="C90" s="75"/>
      <c r="D90" s="75"/>
      <c r="E90" s="75"/>
      <c r="F90" s="75"/>
      <c r="G90" s="75"/>
      <c r="H90" s="75"/>
      <c r="M90" s="75"/>
      <c r="N90" s="75"/>
    </row>
    <row r="91" spans="1:14" ht="12.75">
      <c r="A91" s="75"/>
      <c r="B91" s="75"/>
      <c r="C91" s="75"/>
      <c r="D91" s="75"/>
      <c r="E91" s="75"/>
      <c r="F91" s="75"/>
      <c r="G91" s="75"/>
      <c r="H91" s="75"/>
      <c r="M91" s="75"/>
      <c r="N91" s="75"/>
    </row>
    <row r="92" spans="1:14" ht="12.75">
      <c r="A92" s="75"/>
      <c r="B92" s="75"/>
      <c r="C92" s="75"/>
      <c r="D92" s="75"/>
      <c r="E92" s="75"/>
      <c r="F92" s="75"/>
      <c r="G92" s="75"/>
      <c r="H92" s="75"/>
      <c r="M92" s="75"/>
      <c r="N92" s="75"/>
    </row>
    <row r="93" spans="1:14" ht="12.75">
      <c r="A93" s="75"/>
      <c r="B93" s="75"/>
      <c r="C93" s="75"/>
      <c r="D93" s="75"/>
      <c r="E93" s="75"/>
      <c r="F93" s="75"/>
      <c r="G93" s="75"/>
      <c r="H93" s="75"/>
      <c r="M93" s="75"/>
      <c r="N93" s="75"/>
    </row>
    <row r="94" spans="1:14" ht="12.75">
      <c r="A94" s="75"/>
      <c r="B94" s="75"/>
      <c r="C94" s="75"/>
      <c r="D94" s="75"/>
      <c r="E94" s="75"/>
      <c r="F94" s="75"/>
      <c r="G94" s="75"/>
      <c r="H94" s="75"/>
      <c r="M94" s="75"/>
      <c r="N94" s="75"/>
    </row>
    <row r="95" spans="1:14" ht="12.75">
      <c r="A95" s="75"/>
      <c r="B95" s="75"/>
      <c r="C95" s="75"/>
      <c r="D95" s="75"/>
      <c r="E95" s="75"/>
      <c r="F95" s="75"/>
      <c r="G95" s="75"/>
      <c r="H95" s="75"/>
      <c r="M95" s="75"/>
      <c r="N95" s="75"/>
    </row>
    <row r="96" spans="1:14" ht="12.75">
      <c r="A96" s="75"/>
      <c r="B96" s="75"/>
      <c r="C96" s="75"/>
      <c r="D96" s="75"/>
      <c r="E96" s="75"/>
      <c r="F96" s="75"/>
      <c r="G96" s="75"/>
      <c r="H96" s="75"/>
      <c r="M96" s="75"/>
      <c r="N96" s="75"/>
    </row>
    <row r="97" spans="1:14" ht="12.75">
      <c r="A97" s="75"/>
      <c r="B97" s="75"/>
      <c r="C97" s="75"/>
      <c r="D97" s="75"/>
      <c r="E97" s="75"/>
      <c r="F97" s="75"/>
      <c r="G97" s="75"/>
      <c r="H97" s="75"/>
      <c r="M97" s="75"/>
      <c r="N97" s="75"/>
    </row>
    <row r="98" spans="1:14" ht="12.75">
      <c r="A98" s="75"/>
      <c r="B98" s="75"/>
      <c r="C98" s="75"/>
      <c r="D98" s="75"/>
      <c r="E98" s="75"/>
      <c r="F98" s="75"/>
      <c r="G98" s="75"/>
      <c r="H98" s="75"/>
      <c r="M98" s="75"/>
      <c r="N98" s="75"/>
    </row>
    <row r="99" spans="1:14" ht="12.75">
      <c r="A99" s="75"/>
      <c r="B99" s="75"/>
      <c r="C99" s="75"/>
      <c r="D99" s="75"/>
      <c r="E99" s="75"/>
      <c r="F99" s="75"/>
      <c r="G99" s="75"/>
      <c r="H99" s="75"/>
      <c r="M99" s="75"/>
      <c r="N99" s="75"/>
    </row>
    <row r="100" spans="1:14" ht="12.75">
      <c r="A100" s="75"/>
      <c r="B100" s="75"/>
      <c r="C100" s="75"/>
      <c r="D100" s="75"/>
      <c r="E100" s="75"/>
      <c r="F100" s="75"/>
      <c r="G100" s="75"/>
      <c r="H100" s="75"/>
      <c r="M100" s="75"/>
      <c r="N100" s="75"/>
    </row>
    <row r="101" spans="1:14" ht="12.75">
      <c r="A101" s="75"/>
      <c r="B101" s="75"/>
      <c r="C101" s="75"/>
      <c r="D101" s="75"/>
      <c r="E101" s="75"/>
      <c r="F101" s="75"/>
      <c r="G101" s="75"/>
      <c r="H101" s="75"/>
      <c r="M101" s="75"/>
      <c r="N101" s="75"/>
    </row>
    <row r="102" spans="1:14" ht="12.75">
      <c r="A102" s="75"/>
      <c r="B102" s="75"/>
      <c r="C102" s="75"/>
      <c r="D102" s="75"/>
      <c r="E102" s="75"/>
      <c r="F102" s="75"/>
      <c r="G102" s="75"/>
      <c r="H102" s="75"/>
      <c r="M102" s="75"/>
      <c r="N102" s="75"/>
    </row>
    <row r="103" spans="1:14" ht="12.75">
      <c r="A103" s="75"/>
      <c r="B103" s="75"/>
      <c r="C103" s="75"/>
      <c r="D103" s="75"/>
      <c r="E103" s="75"/>
      <c r="F103" s="75"/>
      <c r="G103" s="75"/>
      <c r="H103" s="75"/>
      <c r="M103" s="75"/>
      <c r="N103" s="75"/>
    </row>
    <row r="104" spans="1:14" ht="12.75">
      <c r="A104" s="75"/>
      <c r="B104" s="75"/>
      <c r="C104" s="75"/>
      <c r="D104" s="75"/>
      <c r="E104" s="75"/>
      <c r="F104" s="75"/>
      <c r="G104" s="75"/>
      <c r="H104" s="75"/>
      <c r="M104" s="75"/>
      <c r="N104" s="75"/>
    </row>
    <row r="105" spans="1:14" ht="12.75">
      <c r="A105" s="75"/>
      <c r="B105" s="75"/>
      <c r="C105" s="75"/>
      <c r="D105" s="75"/>
      <c r="E105" s="75"/>
      <c r="F105" s="75"/>
      <c r="G105" s="75"/>
      <c r="H105" s="75"/>
      <c r="M105" s="75"/>
      <c r="N105" s="75"/>
    </row>
    <row r="106" spans="1:14" ht="12.75">
      <c r="A106" s="75"/>
      <c r="B106" s="75"/>
      <c r="C106" s="75"/>
      <c r="D106" s="75"/>
      <c r="E106" s="75"/>
      <c r="F106" s="75"/>
      <c r="G106" s="75"/>
      <c r="H106" s="75"/>
      <c r="M106" s="75"/>
      <c r="N106" s="75"/>
    </row>
    <row r="107" spans="1:14" ht="12.75">
      <c r="A107" s="75"/>
      <c r="B107" s="75"/>
      <c r="C107" s="75"/>
      <c r="D107" s="75"/>
      <c r="E107" s="75"/>
      <c r="F107" s="75"/>
      <c r="G107" s="75"/>
      <c r="H107" s="75"/>
      <c r="M107" s="75"/>
      <c r="N107" s="75"/>
    </row>
    <row r="108" spans="1:14" ht="12.75">
      <c r="A108" s="75"/>
      <c r="B108" s="75"/>
      <c r="C108" s="75"/>
      <c r="D108" s="75"/>
      <c r="E108" s="75"/>
      <c r="F108" s="75"/>
      <c r="G108" s="75"/>
      <c r="H108" s="75"/>
      <c r="M108" s="75"/>
      <c r="N108" s="75"/>
    </row>
    <row r="109" spans="1:14" ht="12.75">
      <c r="A109" s="75"/>
      <c r="B109" s="75"/>
      <c r="C109" s="75"/>
      <c r="D109" s="75"/>
      <c r="E109" s="75"/>
      <c r="F109" s="75"/>
      <c r="G109" s="75"/>
      <c r="H109" s="75"/>
      <c r="M109" s="75"/>
      <c r="N109" s="75"/>
    </row>
    <row r="110" spans="1:14" ht="12.75">
      <c r="A110" s="75"/>
      <c r="B110" s="75"/>
      <c r="C110" s="75"/>
      <c r="D110" s="75"/>
      <c r="E110" s="75"/>
      <c r="F110" s="75"/>
      <c r="G110" s="75"/>
      <c r="H110" s="75"/>
      <c r="M110" s="75"/>
      <c r="N110" s="75"/>
    </row>
    <row r="111" spans="1:14" ht="12.75">
      <c r="A111" s="75"/>
      <c r="B111" s="75"/>
      <c r="C111" s="75"/>
      <c r="D111" s="75"/>
      <c r="E111" s="75"/>
      <c r="F111" s="75"/>
      <c r="G111" s="75"/>
      <c r="H111" s="75"/>
      <c r="M111" s="75"/>
      <c r="N111" s="75"/>
    </row>
    <row r="112" spans="1:14" ht="12.75">
      <c r="A112" s="75"/>
      <c r="B112" s="75"/>
      <c r="C112" s="75"/>
      <c r="D112" s="75"/>
      <c r="E112" s="75"/>
      <c r="F112" s="75"/>
      <c r="G112" s="75"/>
      <c r="H112" s="75"/>
      <c r="M112" s="75"/>
      <c r="N112" s="75"/>
    </row>
    <row r="113" spans="1:14" ht="12.75">
      <c r="A113" s="75"/>
      <c r="B113" s="75"/>
      <c r="C113" s="75"/>
      <c r="D113" s="75"/>
      <c r="E113" s="75"/>
      <c r="F113" s="75"/>
      <c r="G113" s="75"/>
      <c r="H113" s="75"/>
      <c r="M113" s="75"/>
      <c r="N113" s="75"/>
    </row>
    <row r="114" spans="1:14" ht="12.75">
      <c r="A114" s="75"/>
      <c r="B114" s="75"/>
      <c r="C114" s="75"/>
      <c r="D114" s="75"/>
      <c r="E114" s="75"/>
      <c r="F114" s="75"/>
      <c r="G114" s="75"/>
      <c r="H114" s="75"/>
      <c r="M114" s="75"/>
      <c r="N114" s="75"/>
    </row>
    <row r="115" spans="1:14" ht="12.75">
      <c r="A115" s="75"/>
      <c r="B115" s="75"/>
      <c r="C115" s="75"/>
      <c r="D115" s="75"/>
      <c r="E115" s="75"/>
      <c r="F115" s="75"/>
      <c r="G115" s="75"/>
      <c r="H115" s="75"/>
      <c r="M115" s="75"/>
      <c r="N115" s="75"/>
    </row>
    <row r="116" spans="1:14" ht="12.75">
      <c r="A116" s="75"/>
      <c r="B116" s="75"/>
      <c r="C116" s="75"/>
      <c r="D116" s="75"/>
      <c r="E116" s="75"/>
      <c r="F116" s="75"/>
      <c r="G116" s="75"/>
      <c r="H116" s="75"/>
      <c r="M116" s="75"/>
      <c r="N116" s="75"/>
    </row>
    <row r="117" spans="1:14" ht="12.75">
      <c r="A117" s="75"/>
      <c r="B117" s="75"/>
      <c r="C117" s="75"/>
      <c r="D117" s="75"/>
      <c r="E117" s="75"/>
      <c r="F117" s="75"/>
      <c r="G117" s="75"/>
      <c r="H117" s="75"/>
      <c r="M117" s="75"/>
      <c r="N117" s="75"/>
    </row>
    <row r="118" spans="1:14" ht="12.75">
      <c r="A118" s="75"/>
      <c r="B118" s="75"/>
      <c r="C118" s="75"/>
      <c r="D118" s="75"/>
      <c r="E118" s="75"/>
      <c r="F118" s="75"/>
      <c r="G118" s="75"/>
      <c r="H118" s="75"/>
      <c r="M118" s="75"/>
      <c r="N118" s="75"/>
    </row>
    <row r="119" spans="1:14" ht="12.75">
      <c r="A119" s="75"/>
      <c r="B119" s="75"/>
      <c r="C119" s="75"/>
      <c r="D119" s="75"/>
      <c r="E119" s="75"/>
      <c r="F119" s="75"/>
      <c r="G119" s="75"/>
      <c r="H119" s="75"/>
      <c r="M119" s="75"/>
      <c r="N119" s="75"/>
    </row>
    <row r="120" spans="1:14" ht="12.75">
      <c r="A120" s="75"/>
      <c r="B120" s="75"/>
      <c r="C120" s="75"/>
      <c r="D120" s="75"/>
      <c r="E120" s="75"/>
      <c r="F120" s="75"/>
      <c r="G120" s="75"/>
      <c r="H120" s="75"/>
      <c r="M120" s="75"/>
      <c r="N120" s="75"/>
    </row>
    <row r="121" spans="1:14" ht="12.75">
      <c r="A121" s="75"/>
      <c r="B121" s="75"/>
      <c r="C121" s="75"/>
      <c r="D121" s="75"/>
      <c r="E121" s="75"/>
      <c r="F121" s="75"/>
      <c r="G121" s="75"/>
      <c r="H121" s="75"/>
      <c r="M121" s="75"/>
      <c r="N121" s="75"/>
    </row>
    <row r="122" spans="1:14" ht="12.75">
      <c r="A122" s="75"/>
      <c r="B122" s="75"/>
      <c r="C122" s="75"/>
      <c r="D122" s="75"/>
      <c r="E122" s="75"/>
      <c r="F122" s="75"/>
      <c r="G122" s="75"/>
      <c r="H122" s="75"/>
      <c r="M122" s="75"/>
      <c r="N122" s="75"/>
    </row>
    <row r="123" spans="1:14" ht="12.75">
      <c r="A123" s="75"/>
      <c r="B123" s="75"/>
      <c r="C123" s="75"/>
      <c r="D123" s="75"/>
      <c r="E123" s="75"/>
      <c r="F123" s="75"/>
      <c r="G123" s="75"/>
      <c r="H123" s="75"/>
      <c r="M123" s="75"/>
      <c r="N123" s="75"/>
    </row>
    <row r="124" spans="1:14" ht="12.75">
      <c r="A124" s="75"/>
      <c r="B124" s="75"/>
      <c r="C124" s="75"/>
      <c r="D124" s="75"/>
      <c r="E124" s="75"/>
      <c r="F124" s="75"/>
      <c r="G124" s="75"/>
      <c r="H124" s="75"/>
      <c r="M124" s="75"/>
      <c r="N124" s="75"/>
    </row>
    <row r="125" spans="1:14" ht="12.75">
      <c r="A125" s="75"/>
      <c r="B125" s="75"/>
      <c r="C125" s="75"/>
      <c r="D125" s="75"/>
      <c r="E125" s="75"/>
      <c r="F125" s="75"/>
      <c r="G125" s="75"/>
      <c r="H125" s="75"/>
      <c r="M125" s="75"/>
      <c r="N125" s="75"/>
    </row>
    <row r="126" spans="1:14" ht="12.75">
      <c r="A126" s="75"/>
      <c r="B126" s="75"/>
      <c r="C126" s="75"/>
      <c r="D126" s="75"/>
      <c r="E126" s="75"/>
      <c r="F126" s="75"/>
      <c r="G126" s="75"/>
      <c r="H126" s="75"/>
      <c r="M126" s="75"/>
      <c r="N126" s="75"/>
    </row>
    <row r="127" spans="1:14" ht="12.75">
      <c r="A127" s="75"/>
      <c r="B127" s="75"/>
      <c r="C127" s="75"/>
      <c r="D127" s="75"/>
      <c r="E127" s="75"/>
      <c r="F127" s="75"/>
      <c r="G127" s="75"/>
      <c r="H127" s="75"/>
      <c r="M127" s="75"/>
      <c r="N127" s="75"/>
    </row>
    <row r="128" spans="1:14" ht="12.75">
      <c r="A128" s="75"/>
      <c r="B128" s="75"/>
      <c r="C128" s="75"/>
      <c r="D128" s="75"/>
      <c r="E128" s="75"/>
      <c r="F128" s="75"/>
      <c r="G128" s="75"/>
      <c r="H128" s="75"/>
      <c r="M128" s="75"/>
      <c r="N128" s="75"/>
    </row>
    <row r="129" spans="1:14" ht="12.75">
      <c r="A129" s="75"/>
      <c r="B129" s="75"/>
      <c r="C129" s="75"/>
      <c r="D129" s="75"/>
      <c r="E129" s="75"/>
      <c r="F129" s="75"/>
      <c r="G129" s="75"/>
      <c r="H129" s="75"/>
      <c r="M129" s="75"/>
      <c r="N129" s="75"/>
    </row>
    <row r="130" spans="1:14" ht="12.75">
      <c r="A130" s="75"/>
      <c r="B130" s="75"/>
      <c r="C130" s="75"/>
      <c r="D130" s="75"/>
      <c r="E130" s="75"/>
      <c r="F130" s="75"/>
      <c r="G130" s="75"/>
      <c r="H130" s="75"/>
      <c r="M130" s="75"/>
      <c r="N130" s="75"/>
    </row>
    <row r="131" spans="1:14" ht="12.75">
      <c r="A131" s="75"/>
      <c r="B131" s="75"/>
      <c r="C131" s="75"/>
      <c r="D131" s="75"/>
      <c r="E131" s="75"/>
      <c r="F131" s="75"/>
      <c r="G131" s="75"/>
      <c r="H131" s="75"/>
      <c r="M131" s="75"/>
      <c r="N131" s="75"/>
    </row>
    <row r="132" spans="1:14" ht="12.75">
      <c r="A132" s="75"/>
      <c r="B132" s="75"/>
      <c r="C132" s="75"/>
      <c r="D132" s="75"/>
      <c r="E132" s="75"/>
      <c r="F132" s="75"/>
      <c r="G132" s="75"/>
      <c r="H132" s="75"/>
      <c r="M132" s="75"/>
      <c r="N132" s="75"/>
    </row>
    <row r="133" spans="1:14" ht="12.75">
      <c r="A133" s="75"/>
      <c r="B133" s="75"/>
      <c r="C133" s="75"/>
      <c r="D133" s="75"/>
      <c r="E133" s="75"/>
      <c r="F133" s="75"/>
      <c r="G133" s="75"/>
      <c r="H133" s="75"/>
      <c r="M133" s="75"/>
      <c r="N133" s="75"/>
    </row>
    <row r="134" spans="1:14" ht="12.75">
      <c r="A134" s="75"/>
      <c r="B134" s="75"/>
      <c r="C134" s="75"/>
      <c r="D134" s="75"/>
      <c r="E134" s="75"/>
      <c r="F134" s="75"/>
      <c r="G134" s="75"/>
      <c r="H134" s="75"/>
      <c r="M134" s="75"/>
      <c r="N134" s="75"/>
    </row>
    <row r="135" spans="1:14" ht="12.75">
      <c r="A135" s="75"/>
      <c r="B135" s="75"/>
      <c r="C135" s="75"/>
      <c r="D135" s="75"/>
      <c r="E135" s="75"/>
      <c r="F135" s="75"/>
      <c r="G135" s="75"/>
      <c r="H135" s="75"/>
      <c r="M135" s="75"/>
      <c r="N135" s="75"/>
    </row>
    <row r="136" spans="1:14" ht="12.75">
      <c r="A136" s="75"/>
      <c r="B136" s="75"/>
      <c r="C136" s="75"/>
      <c r="D136" s="75"/>
      <c r="E136" s="75"/>
      <c r="F136" s="75"/>
      <c r="G136" s="75"/>
      <c r="H136" s="75"/>
      <c r="M136" s="75"/>
      <c r="N136" s="75"/>
    </row>
    <row r="137" spans="1:14" ht="12.75">
      <c r="A137" s="75"/>
      <c r="B137" s="75"/>
      <c r="C137" s="75"/>
      <c r="D137" s="75"/>
      <c r="E137" s="75"/>
      <c r="F137" s="75"/>
      <c r="G137" s="75"/>
      <c r="H137" s="75"/>
      <c r="M137" s="75"/>
      <c r="N137" s="75"/>
    </row>
    <row r="138" spans="1:14" ht="12.75">
      <c r="A138" s="75"/>
      <c r="B138" s="75"/>
      <c r="C138" s="75"/>
      <c r="D138" s="75"/>
      <c r="E138" s="75"/>
      <c r="F138" s="75"/>
      <c r="G138" s="75"/>
      <c r="H138" s="75"/>
      <c r="M138" s="75"/>
      <c r="N138" s="75"/>
    </row>
    <row r="139" spans="1:14" ht="12.75">
      <c r="A139" s="75"/>
      <c r="B139" s="75"/>
      <c r="C139" s="75"/>
      <c r="D139" s="75"/>
      <c r="E139" s="75"/>
      <c r="F139" s="75"/>
      <c r="G139" s="75"/>
      <c r="H139" s="75"/>
      <c r="M139" s="75"/>
      <c r="N139" s="75"/>
    </row>
    <row r="140" spans="1:14" ht="12.75">
      <c r="A140" s="75"/>
      <c r="B140" s="75"/>
      <c r="C140" s="75"/>
      <c r="D140" s="75"/>
      <c r="E140" s="75"/>
      <c r="F140" s="75"/>
      <c r="G140" s="75"/>
      <c r="H140" s="75"/>
      <c r="M140" s="75"/>
      <c r="N140" s="75"/>
    </row>
    <row r="141" spans="1:14" ht="12.75">
      <c r="A141" s="75"/>
      <c r="B141" s="75"/>
      <c r="C141" s="75"/>
      <c r="D141" s="75"/>
      <c r="E141" s="75"/>
      <c r="F141" s="75"/>
      <c r="G141" s="75"/>
      <c r="H141" s="75"/>
      <c r="M141" s="75"/>
      <c r="N141" s="75"/>
    </row>
    <row r="142" spans="1:14" ht="12.75">
      <c r="A142" s="75"/>
      <c r="B142" s="75"/>
      <c r="C142" s="75"/>
      <c r="D142" s="75"/>
      <c r="E142" s="75"/>
      <c r="F142" s="75"/>
      <c r="G142" s="75"/>
      <c r="H142" s="75"/>
      <c r="M142" s="75"/>
      <c r="N142" s="75"/>
    </row>
    <row r="143" spans="1:14" ht="12.75">
      <c r="A143" s="75"/>
      <c r="B143" s="75"/>
      <c r="C143" s="75"/>
      <c r="D143" s="75"/>
      <c r="E143" s="75"/>
      <c r="F143" s="75"/>
      <c r="G143" s="75"/>
      <c r="H143" s="75"/>
      <c r="M143" s="75"/>
      <c r="N143" s="75"/>
    </row>
    <row r="144" spans="1:14" ht="12.75">
      <c r="A144" s="75"/>
      <c r="B144" s="75"/>
      <c r="C144" s="75"/>
      <c r="D144" s="75"/>
      <c r="E144" s="75"/>
      <c r="F144" s="75"/>
      <c r="G144" s="75"/>
      <c r="H144" s="75"/>
      <c r="M144" s="75"/>
      <c r="N144" s="75"/>
    </row>
    <row r="145" spans="1:14" ht="12.75">
      <c r="A145" s="75"/>
      <c r="B145" s="75"/>
      <c r="C145" s="75"/>
      <c r="D145" s="75"/>
      <c r="E145" s="75"/>
      <c r="F145" s="75"/>
      <c r="G145" s="75"/>
      <c r="H145" s="75"/>
      <c r="M145" s="75"/>
      <c r="N145" s="75"/>
    </row>
    <row r="146" spans="1:14" ht="12.75">
      <c r="A146" s="75"/>
      <c r="B146" s="75"/>
      <c r="C146" s="75"/>
      <c r="D146" s="75"/>
      <c r="E146" s="75"/>
      <c r="F146" s="75"/>
      <c r="G146" s="75"/>
      <c r="H146" s="75"/>
      <c r="M146" s="75"/>
      <c r="N146" s="75"/>
    </row>
    <row r="147" spans="1:14" ht="12.75">
      <c r="A147" s="75"/>
      <c r="B147" s="75"/>
      <c r="C147" s="75"/>
      <c r="D147" s="75"/>
      <c r="E147" s="75"/>
      <c r="F147" s="75"/>
      <c r="G147" s="75"/>
      <c r="H147" s="75"/>
      <c r="M147" s="75"/>
      <c r="N147" s="75"/>
    </row>
    <row r="148" spans="1:14" ht="12.75">
      <c r="A148" s="75"/>
      <c r="B148" s="75"/>
      <c r="C148" s="75"/>
      <c r="D148" s="75"/>
      <c r="E148" s="75"/>
      <c r="F148" s="75"/>
      <c r="G148" s="75"/>
      <c r="H148" s="75"/>
      <c r="M148" s="75"/>
      <c r="N148" s="75"/>
    </row>
    <row r="149" spans="1:14" ht="12.75">
      <c r="A149" s="75"/>
      <c r="B149" s="75"/>
      <c r="C149" s="75"/>
      <c r="D149" s="75"/>
      <c r="E149" s="75"/>
      <c r="F149" s="75"/>
      <c r="G149" s="75"/>
      <c r="H149" s="75"/>
      <c r="M149" s="75"/>
      <c r="N149" s="75"/>
    </row>
    <row r="150" spans="1:14" ht="12.75">
      <c r="A150" s="75"/>
      <c r="B150" s="75"/>
      <c r="C150" s="75"/>
      <c r="D150" s="75"/>
      <c r="E150" s="75"/>
      <c r="F150" s="75"/>
      <c r="G150" s="75"/>
      <c r="H150" s="75"/>
      <c r="M150" s="75"/>
      <c r="N150" s="75"/>
    </row>
    <row r="151" spans="1:14" ht="12.75">
      <c r="A151" s="75"/>
      <c r="B151" s="75"/>
      <c r="C151" s="75"/>
      <c r="D151" s="75"/>
      <c r="E151" s="75"/>
      <c r="F151" s="75"/>
      <c r="G151" s="75"/>
      <c r="H151" s="75"/>
      <c r="M151" s="75"/>
      <c r="N151" s="75"/>
    </row>
    <row r="152" spans="1:14" ht="12.75">
      <c r="A152" s="75"/>
      <c r="B152" s="75"/>
      <c r="C152" s="75"/>
      <c r="D152" s="75"/>
      <c r="E152" s="75"/>
      <c r="F152" s="75"/>
      <c r="G152" s="75"/>
      <c r="H152" s="75"/>
      <c r="M152" s="75"/>
      <c r="N152" s="75"/>
    </row>
    <row r="153" spans="1:14" ht="12.75">
      <c r="A153" s="75"/>
      <c r="B153" s="75"/>
      <c r="C153" s="75"/>
      <c r="D153" s="75"/>
      <c r="E153" s="75"/>
      <c r="F153" s="75"/>
      <c r="G153" s="75"/>
      <c r="H153" s="75"/>
      <c r="M153" s="75"/>
      <c r="N153" s="75"/>
    </row>
    <row r="154" spans="1:14" ht="12.75">
      <c r="A154" s="75"/>
      <c r="B154" s="75"/>
      <c r="C154" s="75"/>
      <c r="D154" s="75"/>
      <c r="E154" s="75"/>
      <c r="F154" s="75"/>
      <c r="G154" s="75"/>
      <c r="H154" s="75"/>
      <c r="M154" s="75"/>
      <c r="N154" s="75"/>
    </row>
    <row r="155" spans="1:14" ht="12.75">
      <c r="A155" s="75"/>
      <c r="B155" s="75"/>
      <c r="C155" s="75"/>
      <c r="D155" s="75"/>
      <c r="E155" s="75"/>
      <c r="F155" s="75"/>
      <c r="G155" s="75"/>
      <c r="H155" s="75"/>
      <c r="M155" s="75"/>
      <c r="N155" s="75"/>
    </row>
    <row r="156" spans="1:14" ht="12.75">
      <c r="A156" s="75"/>
      <c r="B156" s="75"/>
      <c r="C156" s="75"/>
      <c r="D156" s="75"/>
      <c r="E156" s="75"/>
      <c r="F156" s="75"/>
      <c r="G156" s="75"/>
      <c r="H156" s="75"/>
      <c r="M156" s="75"/>
      <c r="N156" s="75"/>
    </row>
    <row r="157" spans="1:14" ht="12.75">
      <c r="A157" s="75"/>
      <c r="B157" s="75"/>
      <c r="C157" s="75"/>
      <c r="D157" s="75"/>
      <c r="E157" s="75"/>
      <c r="F157" s="75"/>
      <c r="G157" s="75"/>
      <c r="H157" s="75"/>
      <c r="M157" s="75"/>
      <c r="N157" s="75"/>
    </row>
    <row r="158" spans="1:14" ht="12.75">
      <c r="A158" s="75"/>
      <c r="B158" s="75"/>
      <c r="C158" s="75"/>
      <c r="D158" s="75"/>
      <c r="E158" s="75"/>
      <c r="F158" s="75"/>
      <c r="G158" s="75"/>
      <c r="H158" s="75"/>
      <c r="M158" s="75"/>
      <c r="N158" s="75"/>
    </row>
    <row r="159" spans="1:14" ht="12.75">
      <c r="A159" s="75"/>
      <c r="B159" s="75"/>
      <c r="C159" s="75"/>
      <c r="D159" s="75"/>
      <c r="E159" s="75"/>
      <c r="F159" s="75"/>
      <c r="G159" s="75"/>
      <c r="H159" s="75"/>
      <c r="M159" s="75"/>
      <c r="N159" s="75"/>
    </row>
    <row r="160" spans="1:14" ht="12.75">
      <c r="A160" s="75"/>
      <c r="B160" s="75"/>
      <c r="C160" s="75"/>
      <c r="D160" s="75"/>
      <c r="E160" s="75"/>
      <c r="F160" s="75"/>
      <c r="G160" s="75"/>
      <c r="H160" s="75"/>
      <c r="M160" s="75"/>
      <c r="N160" s="75"/>
    </row>
    <row r="161" spans="1:14" ht="12.75">
      <c r="A161" s="75"/>
      <c r="B161" s="75"/>
      <c r="C161" s="75"/>
      <c r="D161" s="75"/>
      <c r="E161" s="75"/>
      <c r="F161" s="75"/>
      <c r="G161" s="75"/>
      <c r="H161" s="75"/>
      <c r="M161" s="75"/>
      <c r="N161" s="75"/>
    </row>
    <row r="162" spans="1:14" ht="12.75">
      <c r="A162" s="75"/>
      <c r="B162" s="75"/>
      <c r="C162" s="75"/>
      <c r="D162" s="75"/>
      <c r="E162" s="75"/>
      <c r="F162" s="75"/>
      <c r="G162" s="75"/>
      <c r="H162" s="75"/>
      <c r="M162" s="75"/>
      <c r="N162" s="75"/>
    </row>
    <row r="163" spans="1:14" ht="12.75">
      <c r="A163" s="75"/>
      <c r="B163" s="75"/>
      <c r="C163" s="75"/>
      <c r="D163" s="75"/>
      <c r="E163" s="75"/>
      <c r="F163" s="75"/>
      <c r="G163" s="75"/>
      <c r="H163" s="75"/>
      <c r="M163" s="75"/>
      <c r="N163" s="75"/>
    </row>
    <row r="164" spans="1:14" ht="12.75">
      <c r="A164" s="75"/>
      <c r="B164" s="75"/>
      <c r="C164" s="75"/>
      <c r="D164" s="75"/>
      <c r="E164" s="75"/>
      <c r="F164" s="75"/>
      <c r="G164" s="75"/>
      <c r="H164" s="75"/>
      <c r="M164" s="75"/>
      <c r="N164" s="75"/>
    </row>
    <row r="165" spans="1:14" ht="12.75">
      <c r="A165" s="75"/>
      <c r="B165" s="75"/>
      <c r="C165" s="75"/>
      <c r="D165" s="75"/>
      <c r="E165" s="75"/>
      <c r="F165" s="75"/>
      <c r="G165" s="75"/>
      <c r="H165" s="75"/>
      <c r="M165" s="75"/>
      <c r="N165" s="75"/>
    </row>
    <row r="166" spans="1:14" ht="12.75">
      <c r="A166" s="75"/>
      <c r="B166" s="75"/>
      <c r="C166" s="75"/>
      <c r="D166" s="75"/>
      <c r="E166" s="75"/>
      <c r="F166" s="75"/>
      <c r="G166" s="75"/>
      <c r="H166" s="75"/>
      <c r="M166" s="75"/>
      <c r="N166" s="75"/>
    </row>
    <row r="167" spans="1:14" ht="12.75">
      <c r="A167" s="75"/>
      <c r="B167" s="75"/>
      <c r="C167" s="75"/>
      <c r="D167" s="75"/>
      <c r="E167" s="75"/>
      <c r="F167" s="75"/>
      <c r="G167" s="75"/>
      <c r="H167" s="75"/>
      <c r="M167" s="75"/>
      <c r="N167" s="75"/>
    </row>
    <row r="168" spans="1:14" ht="12.75">
      <c r="A168" s="75"/>
      <c r="B168" s="75"/>
      <c r="C168" s="75"/>
      <c r="D168" s="75"/>
      <c r="E168" s="75"/>
      <c r="F168" s="75"/>
      <c r="G168" s="75"/>
      <c r="H168" s="75"/>
      <c r="M168" s="75"/>
      <c r="N168" s="75"/>
    </row>
    <row r="169" spans="1:14" ht="12.75">
      <c r="A169" s="75"/>
      <c r="B169" s="75"/>
      <c r="C169" s="75"/>
      <c r="D169" s="75"/>
      <c r="E169" s="75"/>
      <c r="F169" s="75"/>
      <c r="G169" s="75"/>
      <c r="H169" s="75"/>
      <c r="M169" s="75"/>
      <c r="N169" s="75"/>
    </row>
    <row r="170" spans="1:14" ht="12.75">
      <c r="A170" s="75"/>
      <c r="B170" s="75"/>
      <c r="C170" s="75"/>
      <c r="D170" s="75"/>
      <c r="E170" s="75"/>
      <c r="F170" s="75"/>
      <c r="G170" s="75"/>
      <c r="H170" s="75"/>
      <c r="M170" s="75"/>
      <c r="N170" s="75"/>
    </row>
    <row r="171" spans="1:14" ht="12.75">
      <c r="A171" s="75"/>
      <c r="B171" s="75"/>
      <c r="C171" s="75"/>
      <c r="D171" s="75"/>
      <c r="E171" s="75"/>
      <c r="F171" s="75"/>
      <c r="G171" s="75"/>
      <c r="H171" s="75"/>
      <c r="M171" s="75"/>
      <c r="N171" s="75"/>
    </row>
    <row r="172" spans="1:14" ht="12.75">
      <c r="A172" s="75"/>
      <c r="B172" s="75"/>
      <c r="C172" s="75"/>
      <c r="D172" s="75"/>
      <c r="E172" s="75"/>
      <c r="F172" s="75"/>
      <c r="G172" s="75"/>
      <c r="H172" s="75"/>
      <c r="M172" s="75"/>
      <c r="N172" s="75"/>
    </row>
    <row r="173" spans="1:14" ht="12.75">
      <c r="A173" s="75"/>
      <c r="B173" s="75"/>
      <c r="C173" s="75"/>
      <c r="D173" s="75"/>
      <c r="E173" s="75"/>
      <c r="F173" s="75"/>
      <c r="G173" s="75"/>
      <c r="H173" s="75"/>
      <c r="M173" s="75"/>
      <c r="N173" s="75"/>
    </row>
    <row r="174" spans="1:14" ht="12.75">
      <c r="A174" s="75"/>
      <c r="B174" s="75"/>
      <c r="C174" s="75"/>
      <c r="D174" s="75"/>
      <c r="E174" s="75"/>
      <c r="F174" s="75"/>
      <c r="G174" s="75"/>
      <c r="H174" s="75"/>
      <c r="M174" s="75"/>
      <c r="N174" s="75"/>
    </row>
    <row r="175" spans="1:14" ht="12.75">
      <c r="A175" s="75"/>
      <c r="B175" s="75"/>
      <c r="C175" s="75"/>
      <c r="D175" s="75"/>
      <c r="E175" s="75"/>
      <c r="F175" s="75"/>
      <c r="G175" s="75"/>
      <c r="H175" s="75"/>
      <c r="M175" s="75"/>
      <c r="N175" s="75"/>
    </row>
    <row r="176" spans="1:14" ht="12.75">
      <c r="A176" s="75"/>
      <c r="B176" s="75"/>
      <c r="C176" s="75"/>
      <c r="D176" s="75"/>
      <c r="E176" s="75"/>
      <c r="F176" s="75"/>
      <c r="G176" s="75"/>
      <c r="H176" s="75"/>
      <c r="M176" s="75"/>
      <c r="N176" s="75"/>
    </row>
    <row r="177" spans="1:14" ht="12.75">
      <c r="A177" s="75"/>
      <c r="B177" s="75"/>
      <c r="C177" s="75"/>
      <c r="D177" s="75"/>
      <c r="E177" s="75"/>
      <c r="F177" s="75"/>
      <c r="G177" s="75"/>
      <c r="H177" s="75"/>
      <c r="M177" s="75"/>
      <c r="N177" s="75"/>
    </row>
    <row r="178" spans="1:14" ht="12.75">
      <c r="A178" s="75"/>
      <c r="B178" s="75"/>
      <c r="C178" s="75"/>
      <c r="D178" s="75"/>
      <c r="E178" s="75"/>
      <c r="F178" s="75"/>
      <c r="G178" s="75"/>
      <c r="H178" s="75"/>
      <c r="M178" s="75"/>
      <c r="N178" s="75"/>
    </row>
    <row r="179" spans="1:14" ht="12.75">
      <c r="A179" s="75"/>
      <c r="B179" s="75"/>
      <c r="C179" s="75"/>
      <c r="D179" s="75"/>
      <c r="E179" s="75"/>
      <c r="F179" s="75"/>
      <c r="G179" s="75"/>
      <c r="H179" s="75"/>
      <c r="M179" s="75"/>
      <c r="N179" s="75"/>
    </row>
    <row r="180" spans="1:14" ht="12.75">
      <c r="A180" s="75"/>
      <c r="B180" s="75"/>
      <c r="C180" s="75"/>
      <c r="D180" s="75"/>
      <c r="E180" s="75"/>
      <c r="F180" s="75"/>
      <c r="G180" s="75"/>
      <c r="H180" s="75"/>
      <c r="M180" s="75"/>
      <c r="N180" s="75"/>
    </row>
    <row r="181" spans="1:14" ht="12.75">
      <c r="A181" s="75"/>
      <c r="B181" s="75"/>
      <c r="C181" s="75"/>
      <c r="D181" s="75"/>
      <c r="E181" s="75"/>
      <c r="F181" s="75"/>
      <c r="G181" s="75"/>
      <c r="H181" s="75"/>
      <c r="M181" s="75"/>
      <c r="N181" s="75"/>
    </row>
    <row r="182" spans="1:14" ht="12.75">
      <c r="A182" s="75"/>
      <c r="B182" s="75"/>
      <c r="C182" s="75"/>
      <c r="D182" s="75"/>
      <c r="E182" s="75"/>
      <c r="F182" s="75"/>
      <c r="G182" s="75"/>
      <c r="H182" s="75"/>
      <c r="M182" s="75"/>
      <c r="N182" s="75"/>
    </row>
    <row r="183" spans="1:14" ht="12.75">
      <c r="A183" s="75"/>
      <c r="B183" s="75"/>
      <c r="C183" s="75"/>
      <c r="D183" s="75"/>
      <c r="E183" s="75"/>
      <c r="F183" s="75"/>
      <c r="G183" s="75"/>
      <c r="H183" s="75"/>
      <c r="M183" s="75"/>
      <c r="N183" s="75"/>
    </row>
    <row r="184" spans="1:14" ht="12.75">
      <c r="A184" s="75"/>
      <c r="B184" s="75"/>
      <c r="C184" s="75"/>
      <c r="D184" s="75"/>
      <c r="E184" s="75"/>
      <c r="F184" s="75"/>
      <c r="G184" s="75"/>
      <c r="H184" s="75"/>
      <c r="M184" s="75"/>
      <c r="N184" s="75"/>
    </row>
    <row r="185" spans="1:14" ht="12.75">
      <c r="A185" s="75"/>
      <c r="B185" s="75"/>
      <c r="C185" s="75"/>
      <c r="D185" s="75"/>
      <c r="E185" s="75"/>
      <c r="F185" s="75"/>
      <c r="G185" s="75"/>
      <c r="H185" s="75"/>
      <c r="M185" s="75"/>
      <c r="N185" s="75"/>
    </row>
    <row r="186" spans="1:14" ht="12.75">
      <c r="A186" s="75"/>
      <c r="B186" s="75"/>
      <c r="C186" s="75"/>
      <c r="D186" s="75"/>
      <c r="E186" s="75"/>
      <c r="F186" s="75"/>
      <c r="G186" s="75"/>
      <c r="H186" s="75"/>
      <c r="M186" s="75"/>
      <c r="N186" s="75"/>
    </row>
    <row r="187" spans="1:14" ht="12.75">
      <c r="A187" s="75"/>
      <c r="B187" s="75"/>
      <c r="C187" s="75"/>
      <c r="D187" s="75"/>
      <c r="E187" s="75"/>
      <c r="F187" s="75"/>
      <c r="G187" s="75"/>
      <c r="H187" s="75"/>
      <c r="M187" s="75"/>
      <c r="N187" s="75"/>
    </row>
    <row r="188" spans="1:14" ht="12.75">
      <c r="A188" s="75"/>
      <c r="B188" s="75"/>
      <c r="C188" s="75"/>
      <c r="D188" s="75"/>
      <c r="E188" s="75"/>
      <c r="F188" s="75"/>
      <c r="G188" s="75"/>
      <c r="H188" s="75"/>
      <c r="M188" s="75"/>
      <c r="N188" s="75"/>
    </row>
    <row r="189" spans="1:14" ht="12.75">
      <c r="A189" s="75"/>
      <c r="B189" s="75"/>
      <c r="C189" s="75"/>
      <c r="D189" s="75"/>
      <c r="E189" s="75"/>
      <c r="F189" s="75"/>
      <c r="G189" s="75"/>
      <c r="H189" s="75"/>
      <c r="M189" s="75"/>
      <c r="N189" s="75"/>
    </row>
    <row r="190" spans="1:14" ht="12.75">
      <c r="A190" s="75"/>
      <c r="B190" s="75"/>
      <c r="C190" s="75"/>
      <c r="D190" s="75"/>
      <c r="E190" s="75"/>
      <c r="F190" s="75"/>
      <c r="G190" s="75"/>
      <c r="H190" s="75"/>
      <c r="M190" s="75"/>
      <c r="N190" s="75"/>
    </row>
    <row r="191" spans="1:14" ht="12.75">
      <c r="A191" s="75"/>
      <c r="B191" s="75"/>
      <c r="C191" s="75"/>
      <c r="D191" s="75"/>
      <c r="E191" s="75"/>
      <c r="F191" s="75"/>
      <c r="G191" s="75"/>
      <c r="H191" s="75"/>
      <c r="M191" s="75"/>
      <c r="N191" s="75"/>
    </row>
    <row r="192" spans="1:14" ht="12.75">
      <c r="A192" s="75"/>
      <c r="B192" s="75"/>
      <c r="C192" s="75"/>
      <c r="D192" s="75"/>
      <c r="E192" s="75"/>
      <c r="F192" s="75"/>
      <c r="G192" s="75"/>
      <c r="H192" s="75"/>
      <c r="M192" s="75"/>
      <c r="N192" s="75"/>
    </row>
    <row r="193" spans="1:14" ht="12.75">
      <c r="A193" s="75"/>
      <c r="B193" s="75"/>
      <c r="C193" s="75"/>
      <c r="D193" s="75"/>
      <c r="E193" s="75"/>
      <c r="F193" s="75"/>
      <c r="G193" s="75"/>
      <c r="H193" s="75"/>
      <c r="M193" s="75"/>
      <c r="N193" s="75"/>
    </row>
    <row r="194" spans="1:14" ht="12.75">
      <c r="A194" s="75"/>
      <c r="B194" s="75"/>
      <c r="C194" s="75"/>
      <c r="D194" s="75"/>
      <c r="E194" s="75"/>
      <c r="F194" s="75"/>
      <c r="G194" s="75"/>
      <c r="H194" s="75"/>
      <c r="M194" s="75"/>
      <c r="N194" s="75"/>
    </row>
    <row r="195" spans="1:14" ht="12.75">
      <c r="A195" s="75"/>
      <c r="B195" s="75"/>
      <c r="C195" s="75"/>
      <c r="D195" s="75"/>
      <c r="E195" s="75"/>
      <c r="F195" s="75"/>
      <c r="G195" s="75"/>
      <c r="H195" s="75"/>
      <c r="M195" s="75"/>
      <c r="N195" s="75"/>
    </row>
    <row r="196" spans="1:14" ht="12.75">
      <c r="A196" s="75"/>
      <c r="B196" s="75"/>
      <c r="C196" s="75"/>
      <c r="D196" s="75"/>
      <c r="E196" s="75"/>
      <c r="F196" s="75"/>
      <c r="G196" s="75"/>
      <c r="H196" s="75"/>
      <c r="M196" s="75"/>
      <c r="N196" s="75"/>
    </row>
    <row r="197" spans="1:14" ht="12.75">
      <c r="A197" s="75"/>
      <c r="B197" s="75"/>
      <c r="C197" s="75"/>
      <c r="D197" s="75"/>
      <c r="E197" s="75"/>
      <c r="F197" s="75"/>
      <c r="G197" s="75"/>
      <c r="H197" s="75"/>
      <c r="M197" s="75"/>
      <c r="N197" s="75"/>
    </row>
    <row r="198" spans="1:14" ht="12.75">
      <c r="A198" s="75"/>
      <c r="B198" s="75"/>
      <c r="C198" s="75"/>
      <c r="D198" s="75"/>
      <c r="E198" s="75"/>
      <c r="F198" s="75"/>
      <c r="G198" s="75"/>
      <c r="H198" s="75"/>
      <c r="M198" s="75"/>
      <c r="N198" s="75"/>
    </row>
    <row r="199" spans="1:14" ht="12.75">
      <c r="A199" s="75"/>
      <c r="B199" s="75"/>
      <c r="C199" s="75"/>
      <c r="D199" s="75"/>
      <c r="E199" s="75"/>
      <c r="F199" s="75"/>
      <c r="G199" s="75"/>
      <c r="H199" s="75"/>
      <c r="M199" s="75"/>
      <c r="N199" s="75"/>
    </row>
    <row r="200" spans="1:14" ht="12.75">
      <c r="A200" s="75"/>
      <c r="B200" s="75"/>
      <c r="C200" s="75"/>
      <c r="D200" s="75"/>
      <c r="E200" s="75"/>
      <c r="F200" s="75"/>
      <c r="G200" s="75"/>
      <c r="H200" s="75"/>
      <c r="M200" s="75"/>
      <c r="N200" s="75"/>
    </row>
    <row r="201" spans="1:14" ht="12.75">
      <c r="A201" s="75"/>
      <c r="B201" s="75"/>
      <c r="C201" s="75"/>
      <c r="D201" s="75"/>
      <c r="E201" s="75"/>
      <c r="F201" s="75"/>
      <c r="G201" s="75"/>
      <c r="H201" s="75"/>
      <c r="M201" s="75"/>
      <c r="N201" s="75"/>
    </row>
    <row r="202" spans="1:14" ht="12.75">
      <c r="A202" s="75"/>
      <c r="B202" s="75"/>
      <c r="C202" s="75"/>
      <c r="D202" s="75"/>
      <c r="E202" s="75"/>
      <c r="F202" s="75"/>
      <c r="G202" s="75"/>
      <c r="H202" s="75"/>
      <c r="M202" s="75"/>
      <c r="N202" s="75"/>
    </row>
    <row r="203" spans="1:14" ht="12.75">
      <c r="A203" s="75"/>
      <c r="B203" s="75"/>
      <c r="C203" s="75"/>
      <c r="D203" s="75"/>
      <c r="E203" s="75"/>
      <c r="F203" s="75"/>
      <c r="G203" s="75"/>
      <c r="H203" s="75"/>
      <c r="M203" s="75"/>
      <c r="N203" s="75"/>
    </row>
    <row r="204" spans="1:14" ht="12.75">
      <c r="A204" s="75"/>
      <c r="B204" s="75"/>
      <c r="C204" s="75"/>
      <c r="D204" s="75"/>
      <c r="E204" s="75"/>
      <c r="F204" s="75"/>
      <c r="G204" s="75"/>
      <c r="H204" s="75"/>
      <c r="M204" s="75"/>
      <c r="N204" s="75"/>
    </row>
    <row r="205" spans="1:14" ht="12.75">
      <c r="A205" s="75"/>
      <c r="B205" s="75"/>
      <c r="C205" s="75"/>
      <c r="D205" s="75"/>
      <c r="E205" s="75"/>
      <c r="F205" s="75"/>
      <c r="G205" s="75"/>
      <c r="H205" s="75"/>
      <c r="M205" s="75"/>
      <c r="N205" s="75"/>
    </row>
    <row r="206" spans="1:14" ht="12.75">
      <c r="A206" s="75"/>
      <c r="B206" s="75"/>
      <c r="C206" s="75"/>
      <c r="D206" s="75"/>
      <c r="E206" s="75"/>
      <c r="F206" s="75"/>
      <c r="G206" s="75"/>
      <c r="H206" s="75"/>
      <c r="M206" s="75"/>
      <c r="N206" s="75"/>
    </row>
    <row r="207" spans="1:14" ht="12.75">
      <c r="A207" s="75"/>
      <c r="B207" s="75"/>
      <c r="C207" s="75"/>
      <c r="D207" s="75"/>
      <c r="E207" s="75"/>
      <c r="F207" s="75"/>
      <c r="G207" s="75"/>
      <c r="H207" s="75"/>
      <c r="M207" s="75"/>
      <c r="N207" s="75"/>
    </row>
    <row r="208" spans="1:14" ht="12.75">
      <c r="A208" s="75"/>
      <c r="B208" s="75"/>
      <c r="C208" s="75"/>
      <c r="D208" s="75"/>
      <c r="E208" s="75"/>
      <c r="F208" s="75"/>
      <c r="G208" s="75"/>
      <c r="H208" s="75"/>
      <c r="M208" s="75"/>
      <c r="N208" s="75"/>
    </row>
    <row r="209" spans="1:14" ht="12.75">
      <c r="A209" s="75"/>
      <c r="B209" s="75"/>
      <c r="C209" s="75"/>
      <c r="D209" s="75"/>
      <c r="E209" s="75"/>
      <c r="F209" s="75"/>
      <c r="G209" s="75"/>
      <c r="H209" s="75"/>
      <c r="M209" s="75"/>
      <c r="N209" s="75"/>
    </row>
    <row r="210" spans="1:14" ht="12.75">
      <c r="A210" s="75"/>
      <c r="B210" s="75"/>
      <c r="C210" s="75"/>
      <c r="D210" s="75"/>
      <c r="E210" s="75"/>
      <c r="F210" s="75"/>
      <c r="G210" s="75"/>
      <c r="H210" s="75"/>
      <c r="M210" s="75"/>
      <c r="N210" s="75"/>
    </row>
    <row r="211" spans="1:14" ht="12.75">
      <c r="A211" s="75"/>
      <c r="B211" s="75"/>
      <c r="C211" s="75"/>
      <c r="D211" s="75"/>
      <c r="E211" s="75"/>
      <c r="F211" s="75"/>
      <c r="G211" s="75"/>
      <c r="H211" s="75"/>
      <c r="M211" s="75"/>
      <c r="N211" s="75"/>
    </row>
    <row r="212" spans="1:14" ht="12.75">
      <c r="A212" s="75"/>
      <c r="B212" s="75"/>
      <c r="C212" s="75"/>
      <c r="D212" s="75"/>
      <c r="E212" s="75"/>
      <c r="F212" s="75"/>
      <c r="G212" s="75"/>
      <c r="H212" s="75"/>
      <c r="M212" s="75"/>
      <c r="N212" s="75"/>
    </row>
    <row r="213" spans="1:14" ht="12.75">
      <c r="A213" s="75"/>
      <c r="B213" s="75"/>
      <c r="C213" s="75"/>
      <c r="D213" s="75"/>
      <c r="E213" s="75"/>
      <c r="F213" s="75"/>
      <c r="G213" s="75"/>
      <c r="H213" s="75"/>
      <c r="M213" s="75"/>
      <c r="N213" s="75"/>
    </row>
    <row r="214" spans="1:14" ht="12.75">
      <c r="A214" s="75"/>
      <c r="B214" s="75"/>
      <c r="C214" s="75"/>
      <c r="D214" s="75"/>
      <c r="E214" s="75"/>
      <c r="F214" s="75"/>
      <c r="G214" s="75"/>
      <c r="H214" s="75"/>
      <c r="M214" s="75"/>
      <c r="N214" s="75"/>
    </row>
    <row r="215" spans="1:14" ht="12.75">
      <c r="A215" s="75"/>
      <c r="B215" s="75"/>
      <c r="C215" s="75"/>
      <c r="D215" s="75"/>
      <c r="E215" s="75"/>
      <c r="F215" s="75"/>
      <c r="G215" s="75"/>
      <c r="H215" s="75"/>
      <c r="M215" s="75"/>
      <c r="N215" s="75"/>
    </row>
    <row r="216" spans="1:14" ht="12.75">
      <c r="A216" s="75"/>
      <c r="B216" s="75"/>
      <c r="C216" s="75"/>
      <c r="D216" s="75"/>
      <c r="E216" s="75"/>
      <c r="F216" s="75"/>
      <c r="G216" s="75"/>
      <c r="H216" s="75"/>
      <c r="M216" s="75"/>
      <c r="N216" s="75"/>
    </row>
    <row r="217" spans="1:14" ht="12.75">
      <c r="A217" s="75"/>
      <c r="B217" s="75"/>
      <c r="C217" s="75"/>
      <c r="D217" s="75"/>
      <c r="E217" s="75"/>
      <c r="F217" s="75"/>
      <c r="G217" s="75"/>
      <c r="H217" s="75"/>
      <c r="M217" s="75"/>
      <c r="N217" s="75"/>
    </row>
    <row r="218" spans="1:14" ht="12.75">
      <c r="A218" s="75"/>
      <c r="B218" s="75"/>
      <c r="C218" s="75"/>
      <c r="D218" s="75"/>
      <c r="E218" s="75"/>
      <c r="F218" s="75"/>
      <c r="G218" s="75"/>
      <c r="H218" s="75"/>
      <c r="M218" s="75"/>
      <c r="N218" s="75"/>
    </row>
    <row r="219" spans="1:14" ht="12.75">
      <c r="A219" s="75"/>
      <c r="B219" s="75"/>
      <c r="C219" s="75"/>
      <c r="D219" s="75"/>
      <c r="E219" s="75"/>
      <c r="F219" s="75"/>
      <c r="G219" s="75"/>
      <c r="H219" s="75"/>
      <c r="M219" s="75"/>
      <c r="N219" s="75"/>
    </row>
    <row r="220" spans="1:14" ht="12.75">
      <c r="A220" s="75"/>
      <c r="B220" s="75"/>
      <c r="C220" s="75"/>
      <c r="D220" s="75"/>
      <c r="E220" s="75"/>
      <c r="F220" s="75"/>
      <c r="G220" s="75"/>
      <c r="H220" s="75"/>
      <c r="M220" s="75"/>
      <c r="N220" s="75"/>
    </row>
    <row r="221" spans="1:14" ht="12.75">
      <c r="A221" s="75"/>
      <c r="B221" s="75"/>
      <c r="C221" s="75"/>
      <c r="D221" s="75"/>
      <c r="E221" s="75"/>
      <c r="F221" s="75"/>
      <c r="G221" s="75"/>
      <c r="H221" s="75"/>
      <c r="M221" s="75"/>
      <c r="N221" s="75"/>
    </row>
    <row r="222" spans="1:14" ht="12.75">
      <c r="A222" s="75"/>
      <c r="B222" s="75"/>
      <c r="C222" s="75"/>
      <c r="D222" s="75"/>
      <c r="E222" s="75"/>
      <c r="F222" s="75"/>
      <c r="G222" s="75"/>
      <c r="H222" s="75"/>
      <c r="M222" s="75"/>
      <c r="N222" s="75"/>
    </row>
    <row r="223" spans="1:14" ht="12.75">
      <c r="A223" s="75"/>
      <c r="B223" s="75"/>
      <c r="C223" s="75"/>
      <c r="D223" s="75"/>
      <c r="E223" s="75"/>
      <c r="F223" s="75"/>
      <c r="G223" s="75"/>
      <c r="H223" s="75"/>
      <c r="M223" s="75"/>
      <c r="N223" s="75"/>
    </row>
    <row r="224" spans="1:14" ht="12.75">
      <c r="A224" s="75"/>
      <c r="B224" s="75"/>
      <c r="C224" s="75"/>
      <c r="D224" s="75"/>
      <c r="E224" s="75"/>
      <c r="F224" s="75"/>
      <c r="G224" s="75"/>
      <c r="H224" s="75"/>
      <c r="M224" s="75"/>
      <c r="N224" s="75"/>
    </row>
    <row r="225" spans="1:14" ht="12.75">
      <c r="A225" s="75"/>
      <c r="B225" s="75"/>
      <c r="C225" s="75"/>
      <c r="D225" s="75"/>
      <c r="E225" s="75"/>
      <c r="F225" s="75"/>
      <c r="G225" s="75"/>
      <c r="H225" s="75"/>
      <c r="M225" s="75"/>
      <c r="N225" s="75"/>
    </row>
    <row r="226" spans="1:14" ht="12.75">
      <c r="A226" s="75"/>
      <c r="B226" s="75"/>
      <c r="C226" s="75"/>
      <c r="D226" s="75"/>
      <c r="E226" s="75"/>
      <c r="F226" s="75"/>
      <c r="G226" s="75"/>
      <c r="H226" s="75"/>
      <c r="M226" s="75"/>
      <c r="N226" s="75"/>
    </row>
    <row r="227" spans="1:14" ht="12.75">
      <c r="A227" s="75"/>
      <c r="B227" s="75"/>
      <c r="C227" s="75"/>
      <c r="D227" s="75"/>
      <c r="E227" s="75"/>
      <c r="F227" s="75"/>
      <c r="G227" s="75"/>
      <c r="H227" s="75"/>
      <c r="M227" s="75"/>
      <c r="N227" s="75"/>
    </row>
    <row r="228" spans="1:14" ht="12.75">
      <c r="A228" s="75"/>
      <c r="B228" s="75"/>
      <c r="C228" s="75"/>
      <c r="D228" s="75"/>
      <c r="E228" s="75"/>
      <c r="F228" s="75"/>
      <c r="G228" s="75"/>
      <c r="H228" s="75"/>
      <c r="M228" s="75"/>
      <c r="N228" s="75"/>
    </row>
    <row r="229" spans="1:14" ht="12.75">
      <c r="A229" s="75"/>
      <c r="B229" s="75"/>
      <c r="C229" s="75"/>
      <c r="D229" s="75"/>
      <c r="E229" s="75"/>
      <c r="F229" s="75"/>
      <c r="G229" s="75"/>
      <c r="H229" s="75"/>
      <c r="M229" s="75"/>
      <c r="N229" s="75"/>
    </row>
    <row r="230" spans="1:14" ht="12.75">
      <c r="A230" s="75"/>
      <c r="B230" s="75"/>
      <c r="C230" s="75"/>
      <c r="D230" s="75"/>
      <c r="E230" s="75"/>
      <c r="F230" s="75"/>
      <c r="G230" s="75"/>
      <c r="H230" s="75"/>
      <c r="M230" s="75"/>
      <c r="N230" s="75"/>
    </row>
    <row r="231" spans="1:14" ht="12.75">
      <c r="A231" s="75"/>
      <c r="B231" s="75"/>
      <c r="C231" s="75"/>
      <c r="D231" s="75"/>
      <c r="E231" s="75"/>
      <c r="F231" s="75"/>
      <c r="G231" s="75"/>
      <c r="H231" s="75"/>
      <c r="M231" s="75"/>
      <c r="N231" s="75"/>
    </row>
    <row r="232" spans="1:14" ht="12.75">
      <c r="A232" s="75"/>
      <c r="B232" s="75"/>
      <c r="C232" s="75"/>
      <c r="D232" s="75"/>
      <c r="E232" s="75"/>
      <c r="F232" s="75"/>
      <c r="G232" s="75"/>
      <c r="H232" s="75"/>
      <c r="M232" s="75"/>
      <c r="N232" s="75"/>
    </row>
    <row r="233" spans="1:14" ht="12.75">
      <c r="A233" s="75"/>
      <c r="B233" s="75"/>
      <c r="C233" s="75"/>
      <c r="D233" s="75"/>
      <c r="E233" s="75"/>
      <c r="F233" s="75"/>
      <c r="G233" s="75"/>
      <c r="H233" s="75"/>
      <c r="M233" s="75"/>
      <c r="N233" s="75"/>
    </row>
    <row r="234" spans="1:14" ht="12.75">
      <c r="A234" s="75"/>
      <c r="B234" s="75"/>
      <c r="C234" s="75"/>
      <c r="D234" s="75"/>
      <c r="E234" s="75"/>
      <c r="F234" s="75"/>
      <c r="G234" s="75"/>
      <c r="H234" s="75"/>
      <c r="M234" s="75"/>
      <c r="N234" s="75"/>
    </row>
    <row r="235" spans="1:14" ht="12.75">
      <c r="A235" s="75"/>
      <c r="B235" s="75"/>
      <c r="C235" s="75"/>
      <c r="D235" s="75"/>
      <c r="E235" s="75"/>
      <c r="F235" s="75"/>
      <c r="G235" s="75"/>
      <c r="H235" s="75"/>
      <c r="M235" s="75"/>
      <c r="N235" s="75"/>
    </row>
    <row r="236" spans="1:14" ht="12.75">
      <c r="A236" s="75"/>
      <c r="B236" s="75"/>
      <c r="C236" s="75"/>
      <c r="D236" s="75"/>
      <c r="E236" s="75"/>
      <c r="F236" s="75"/>
      <c r="G236" s="75"/>
      <c r="H236" s="75"/>
      <c r="M236" s="75"/>
      <c r="N236" s="75"/>
    </row>
    <row r="237" spans="1:14" ht="12.75">
      <c r="A237" s="75"/>
      <c r="B237" s="75"/>
      <c r="C237" s="75"/>
      <c r="D237" s="75"/>
      <c r="E237" s="75"/>
      <c r="F237" s="75"/>
      <c r="G237" s="75"/>
      <c r="H237" s="75"/>
      <c r="M237" s="75"/>
      <c r="N237" s="75"/>
    </row>
    <row r="238" spans="1:14" ht="12.75">
      <c r="A238" s="75"/>
      <c r="B238" s="75"/>
      <c r="C238" s="75"/>
      <c r="D238" s="75"/>
      <c r="E238" s="75"/>
      <c r="F238" s="75"/>
      <c r="G238" s="75"/>
      <c r="H238" s="75"/>
      <c r="M238" s="75"/>
      <c r="N238" s="75"/>
    </row>
    <row r="239" spans="1:14" ht="12.75">
      <c r="A239" s="75"/>
      <c r="B239" s="75"/>
      <c r="C239" s="75"/>
      <c r="D239" s="75"/>
      <c r="E239" s="75"/>
      <c r="F239" s="75"/>
      <c r="G239" s="75"/>
      <c r="H239" s="75"/>
      <c r="M239" s="75"/>
      <c r="N239" s="75"/>
    </row>
    <row r="240" spans="1:14" ht="12.75">
      <c r="A240" s="75"/>
      <c r="B240" s="75"/>
      <c r="C240" s="75"/>
      <c r="D240" s="75"/>
      <c r="E240" s="75"/>
      <c r="F240" s="75"/>
      <c r="G240" s="75"/>
      <c r="H240" s="75"/>
      <c r="M240" s="75"/>
      <c r="N240" s="75"/>
    </row>
    <row r="241" spans="1:14" ht="12.75">
      <c r="A241" s="75"/>
      <c r="B241" s="75"/>
      <c r="C241" s="75"/>
      <c r="D241" s="75"/>
      <c r="E241" s="75"/>
      <c r="F241" s="75"/>
      <c r="G241" s="75"/>
      <c r="H241" s="75"/>
      <c r="M241" s="75"/>
      <c r="N241" s="75"/>
    </row>
    <row r="242" spans="1:14" ht="12.75">
      <c r="A242" s="75"/>
      <c r="B242" s="75"/>
      <c r="C242" s="75"/>
      <c r="D242" s="75"/>
      <c r="E242" s="75"/>
      <c r="F242" s="75"/>
      <c r="G242" s="75"/>
      <c r="H242" s="75"/>
      <c r="M242" s="75"/>
      <c r="N242" s="75"/>
    </row>
    <row r="243" spans="1:14" ht="12.75">
      <c r="A243" s="75"/>
      <c r="B243" s="75"/>
      <c r="C243" s="75"/>
      <c r="D243" s="75"/>
      <c r="E243" s="75"/>
      <c r="F243" s="75"/>
      <c r="G243" s="75"/>
      <c r="H243" s="75"/>
      <c r="M243" s="75"/>
      <c r="N243" s="75"/>
    </row>
    <row r="244" spans="1:14" ht="12.75">
      <c r="A244" s="75"/>
      <c r="B244" s="75"/>
      <c r="C244" s="75"/>
      <c r="D244" s="75"/>
      <c r="E244" s="75"/>
      <c r="F244" s="75"/>
      <c r="G244" s="75"/>
      <c r="H244" s="75"/>
      <c r="M244" s="75"/>
      <c r="N244" s="75"/>
    </row>
    <row r="245" spans="1:14" ht="12.75">
      <c r="A245" s="75"/>
      <c r="B245" s="75"/>
      <c r="C245" s="75"/>
      <c r="D245" s="75"/>
      <c r="E245" s="75"/>
      <c r="F245" s="75"/>
      <c r="G245" s="75"/>
      <c r="H245" s="75"/>
      <c r="M245" s="75"/>
      <c r="N245" s="75"/>
    </row>
    <row r="246" spans="1:14" ht="12.75">
      <c r="A246" s="75"/>
      <c r="B246" s="75"/>
      <c r="C246" s="75"/>
      <c r="D246" s="75"/>
      <c r="E246" s="75"/>
      <c r="F246" s="75"/>
      <c r="G246" s="75"/>
      <c r="H246" s="75"/>
      <c r="M246" s="75"/>
      <c r="N246" s="75"/>
    </row>
    <row r="247" spans="1:14" ht="12.75">
      <c r="A247" s="75"/>
      <c r="B247" s="75"/>
      <c r="C247" s="75"/>
      <c r="D247" s="75"/>
      <c r="E247" s="75"/>
      <c r="F247" s="75"/>
      <c r="G247" s="75"/>
      <c r="H247" s="75"/>
      <c r="M247" s="75"/>
      <c r="N247" s="75"/>
    </row>
    <row r="248" spans="1:14" ht="12.75">
      <c r="A248" s="75"/>
      <c r="B248" s="75"/>
      <c r="C248" s="75"/>
      <c r="D248" s="75"/>
      <c r="E248" s="75"/>
      <c r="F248" s="75"/>
      <c r="G248" s="75"/>
      <c r="H248" s="75"/>
      <c r="M248" s="75"/>
      <c r="N248" s="75"/>
    </row>
    <row r="249" spans="1:14" ht="12.75">
      <c r="A249" s="75"/>
      <c r="B249" s="75"/>
      <c r="C249" s="75"/>
      <c r="D249" s="75"/>
      <c r="E249" s="75"/>
      <c r="F249" s="75"/>
      <c r="G249" s="75"/>
      <c r="H249" s="75"/>
      <c r="M249" s="75"/>
      <c r="N249" s="75"/>
    </row>
    <row r="250" spans="1:14" ht="12.75">
      <c r="A250" s="75"/>
      <c r="B250" s="75"/>
      <c r="C250" s="75"/>
      <c r="D250" s="75"/>
      <c r="E250" s="75"/>
      <c r="F250" s="75"/>
      <c r="G250" s="75"/>
      <c r="H250" s="75"/>
      <c r="M250" s="75"/>
      <c r="N250" s="75"/>
    </row>
    <row r="251" spans="1:14" ht="12.75">
      <c r="A251" s="75"/>
      <c r="B251" s="75"/>
      <c r="C251" s="75"/>
      <c r="D251" s="75"/>
      <c r="E251" s="75"/>
      <c r="F251" s="75"/>
      <c r="G251" s="75"/>
      <c r="H251" s="75"/>
      <c r="M251" s="75"/>
      <c r="N251" s="75"/>
    </row>
    <row r="252" spans="1:14" ht="12.75">
      <c r="A252" s="75"/>
      <c r="B252" s="75"/>
      <c r="C252" s="75"/>
      <c r="D252" s="75"/>
      <c r="E252" s="75"/>
      <c r="F252" s="75"/>
      <c r="G252" s="75"/>
      <c r="H252" s="75"/>
      <c r="M252" s="75"/>
      <c r="N252" s="75"/>
    </row>
    <row r="253" spans="1:14" ht="12.75">
      <c r="A253" s="75"/>
      <c r="B253" s="75"/>
      <c r="C253" s="75"/>
      <c r="D253" s="75"/>
      <c r="E253" s="75"/>
      <c r="F253" s="75"/>
      <c r="G253" s="75"/>
      <c r="H253" s="75"/>
      <c r="M253" s="75"/>
      <c r="N253" s="75"/>
    </row>
    <row r="254" spans="1:14" ht="12.75">
      <c r="A254" s="75"/>
      <c r="B254" s="75"/>
      <c r="C254" s="75"/>
      <c r="D254" s="75"/>
      <c r="E254" s="75"/>
      <c r="F254" s="75"/>
      <c r="G254" s="75"/>
      <c r="H254" s="75"/>
      <c r="M254" s="75"/>
      <c r="N254" s="75"/>
    </row>
    <row r="255" spans="1:14" ht="12.75">
      <c r="A255" s="75"/>
      <c r="B255" s="75"/>
      <c r="C255" s="75"/>
      <c r="D255" s="75"/>
      <c r="E255" s="75"/>
      <c r="F255" s="75"/>
      <c r="G255" s="75"/>
      <c r="H255" s="75"/>
      <c r="M255" s="75"/>
      <c r="N255" s="75"/>
    </row>
    <row r="256" spans="1:14" ht="12.75">
      <c r="A256" s="75"/>
      <c r="B256" s="75"/>
      <c r="C256" s="75"/>
      <c r="D256" s="75"/>
      <c r="E256" s="75"/>
      <c r="F256" s="75"/>
      <c r="G256" s="75"/>
      <c r="H256" s="75"/>
      <c r="M256" s="75"/>
      <c r="N256" s="75"/>
    </row>
    <row r="257" spans="1:14" ht="12.75">
      <c r="A257" s="75"/>
      <c r="B257" s="75"/>
      <c r="C257" s="75"/>
      <c r="D257" s="75"/>
      <c r="E257" s="75"/>
      <c r="F257" s="75"/>
      <c r="G257" s="75"/>
      <c r="H257" s="75"/>
      <c r="M257" s="75"/>
      <c r="N257" s="75"/>
    </row>
    <row r="258" spans="1:14" ht="12.75">
      <c r="A258" s="75"/>
      <c r="B258" s="75"/>
      <c r="C258" s="75"/>
      <c r="D258" s="75"/>
      <c r="E258" s="75"/>
      <c r="F258" s="75"/>
      <c r="G258" s="75"/>
      <c r="H258" s="75"/>
      <c r="M258" s="75"/>
      <c r="N258" s="75"/>
    </row>
    <row r="259" spans="1:14" ht="12.75">
      <c r="A259" s="75"/>
      <c r="B259" s="75"/>
      <c r="C259" s="75"/>
      <c r="D259" s="75"/>
      <c r="E259" s="75"/>
      <c r="F259" s="75"/>
      <c r="G259" s="75"/>
      <c r="H259" s="75"/>
      <c r="M259" s="75"/>
      <c r="N259" s="75"/>
    </row>
    <row r="260" spans="1:14" ht="12.75">
      <c r="A260" s="75"/>
      <c r="B260" s="75"/>
      <c r="C260" s="75"/>
      <c r="D260" s="75"/>
      <c r="E260" s="75"/>
      <c r="F260" s="75"/>
      <c r="G260" s="75"/>
      <c r="H260" s="75"/>
      <c r="M260" s="75"/>
      <c r="N260" s="75"/>
    </row>
    <row r="261" spans="1:14" ht="12.75">
      <c r="A261" s="75"/>
      <c r="B261" s="75"/>
      <c r="C261" s="75"/>
      <c r="D261" s="75"/>
      <c r="E261" s="75"/>
      <c r="F261" s="75"/>
      <c r="G261" s="75"/>
      <c r="H261" s="75"/>
      <c r="M261" s="75"/>
      <c r="N261" s="75"/>
    </row>
    <row r="262" spans="1:14" ht="12.75">
      <c r="A262" s="75"/>
      <c r="B262" s="75"/>
      <c r="C262" s="75"/>
      <c r="D262" s="75"/>
      <c r="E262" s="75"/>
      <c r="F262" s="75"/>
      <c r="G262" s="75"/>
      <c r="H262" s="75"/>
      <c r="M262" s="75"/>
      <c r="N262" s="75"/>
    </row>
    <row r="263" spans="1:14" ht="12.75">
      <c r="A263" s="75"/>
      <c r="B263" s="75"/>
      <c r="C263" s="75"/>
      <c r="D263" s="75"/>
      <c r="E263" s="75"/>
      <c r="F263" s="75"/>
      <c r="G263" s="75"/>
      <c r="H263" s="75"/>
      <c r="M263" s="75"/>
      <c r="N263" s="75"/>
    </row>
    <row r="264" spans="1:14" ht="12.75">
      <c r="A264" s="75"/>
      <c r="B264" s="75"/>
      <c r="C264" s="75"/>
      <c r="D264" s="75"/>
      <c r="E264" s="75"/>
      <c r="F264" s="75"/>
      <c r="G264" s="75"/>
      <c r="H264" s="75"/>
      <c r="M264" s="75"/>
      <c r="N264" s="75"/>
    </row>
    <row r="265" spans="1:14" ht="12.75">
      <c r="A265" s="75"/>
      <c r="B265" s="75"/>
      <c r="C265" s="75"/>
      <c r="D265" s="75"/>
      <c r="E265" s="75"/>
      <c r="F265" s="75"/>
      <c r="G265" s="75"/>
      <c r="H265" s="75"/>
      <c r="M265" s="75"/>
      <c r="N265" s="75"/>
    </row>
    <row r="266" spans="1:14" ht="12.75">
      <c r="A266" s="75"/>
      <c r="B266" s="75"/>
      <c r="C266" s="75"/>
      <c r="D266" s="75"/>
      <c r="E266" s="75"/>
      <c r="F266" s="75"/>
      <c r="G266" s="75"/>
      <c r="H266" s="75"/>
      <c r="M266" s="75"/>
      <c r="N266" s="75"/>
    </row>
    <row r="267" spans="1:14" ht="12.75">
      <c r="A267" s="75"/>
      <c r="B267" s="75"/>
      <c r="C267" s="75"/>
      <c r="D267" s="75"/>
      <c r="E267" s="75"/>
      <c r="F267" s="75"/>
      <c r="G267" s="75"/>
      <c r="H267" s="75"/>
      <c r="M267" s="75"/>
      <c r="N267" s="75"/>
    </row>
    <row r="268" spans="1:14" ht="12.75">
      <c r="A268" s="75"/>
      <c r="B268" s="75"/>
      <c r="C268" s="75"/>
      <c r="D268" s="75"/>
      <c r="E268" s="75"/>
      <c r="F268" s="75"/>
      <c r="G268" s="75"/>
      <c r="H268" s="75"/>
      <c r="M268" s="75"/>
      <c r="N268" s="75"/>
    </row>
    <row r="269" spans="1:14" ht="12.75">
      <c r="A269" s="75"/>
      <c r="B269" s="75"/>
      <c r="C269" s="75"/>
      <c r="D269" s="75"/>
      <c r="E269" s="75"/>
      <c r="F269" s="75"/>
      <c r="G269" s="75"/>
      <c r="H269" s="75"/>
      <c r="M269" s="75"/>
      <c r="N269" s="75"/>
    </row>
    <row r="270" spans="1:14" ht="12.75">
      <c r="A270" s="75"/>
      <c r="B270" s="75"/>
      <c r="C270" s="75"/>
      <c r="D270" s="75"/>
      <c r="E270" s="75"/>
      <c r="F270" s="75"/>
      <c r="G270" s="75"/>
      <c r="H270" s="75"/>
      <c r="M270" s="75"/>
      <c r="N270" s="75"/>
    </row>
    <row r="271" spans="1:14" ht="12.75">
      <c r="A271" s="75"/>
      <c r="B271" s="75"/>
      <c r="C271" s="75"/>
      <c r="D271" s="75"/>
      <c r="E271" s="75"/>
      <c r="F271" s="75"/>
      <c r="G271" s="75"/>
      <c r="H271" s="75"/>
      <c r="M271" s="75"/>
      <c r="N271" s="75"/>
    </row>
    <row r="272" spans="1:14" ht="12.75">
      <c r="A272" s="75"/>
      <c r="B272" s="75"/>
      <c r="C272" s="75"/>
      <c r="D272" s="75"/>
      <c r="E272" s="75"/>
      <c r="F272" s="75"/>
      <c r="G272" s="75"/>
      <c r="H272" s="75"/>
      <c r="M272" s="75"/>
      <c r="N272" s="75"/>
    </row>
    <row r="273" spans="1:14" ht="12.75">
      <c r="A273" s="75"/>
      <c r="B273" s="75"/>
      <c r="C273" s="75"/>
      <c r="D273" s="75"/>
      <c r="E273" s="75"/>
      <c r="F273" s="75"/>
      <c r="G273" s="75"/>
      <c r="H273" s="75"/>
      <c r="M273" s="75"/>
      <c r="N273" s="75"/>
    </row>
    <row r="274" spans="1:14" ht="12.75">
      <c r="A274" s="75"/>
      <c r="B274" s="75"/>
      <c r="C274" s="75"/>
      <c r="D274" s="75"/>
      <c r="E274" s="75"/>
      <c r="F274" s="75"/>
      <c r="G274" s="75"/>
      <c r="H274" s="75"/>
      <c r="M274" s="75"/>
      <c r="N274" s="75"/>
    </row>
    <row r="275" spans="1:14" ht="12.75">
      <c r="A275" s="75"/>
      <c r="B275" s="75"/>
      <c r="C275" s="75"/>
      <c r="D275" s="75"/>
      <c r="E275" s="75"/>
      <c r="F275" s="75"/>
      <c r="G275" s="75"/>
      <c r="H275" s="75"/>
      <c r="M275" s="75"/>
      <c r="N275" s="75"/>
    </row>
    <row r="276" spans="1:14" ht="12.75">
      <c r="A276" s="75"/>
      <c r="B276" s="75"/>
      <c r="C276" s="75"/>
      <c r="D276" s="75"/>
      <c r="E276" s="75"/>
      <c r="F276" s="75"/>
      <c r="G276" s="75"/>
      <c r="H276" s="75"/>
      <c r="M276" s="75"/>
      <c r="N276" s="75"/>
    </row>
    <row r="277" spans="1:14" ht="12.75">
      <c r="A277" s="75"/>
      <c r="B277" s="75"/>
      <c r="C277" s="75"/>
      <c r="D277" s="75"/>
      <c r="E277" s="75"/>
      <c r="F277" s="75"/>
      <c r="G277" s="75"/>
      <c r="H277" s="75"/>
      <c r="M277" s="75"/>
      <c r="N277" s="75"/>
    </row>
    <row r="278" spans="1:14" ht="12.75">
      <c r="A278" s="75"/>
      <c r="B278" s="75"/>
      <c r="C278" s="75"/>
      <c r="D278" s="75"/>
      <c r="E278" s="75"/>
      <c r="F278" s="75"/>
      <c r="G278" s="75"/>
      <c r="H278" s="75"/>
      <c r="M278" s="75"/>
      <c r="N278" s="75"/>
    </row>
    <row r="279" spans="1:14" ht="12.75">
      <c r="A279" s="75"/>
      <c r="B279" s="75"/>
      <c r="C279" s="75"/>
      <c r="D279" s="75"/>
      <c r="E279" s="75"/>
      <c r="F279" s="75"/>
      <c r="G279" s="75"/>
      <c r="H279" s="75"/>
      <c r="M279" s="75"/>
      <c r="N279" s="75"/>
    </row>
    <row r="280" spans="1:14" ht="12.75">
      <c r="A280" s="75"/>
      <c r="B280" s="75"/>
      <c r="C280" s="75"/>
      <c r="D280" s="75"/>
      <c r="E280" s="75"/>
      <c r="F280" s="75"/>
      <c r="G280" s="75"/>
      <c r="H280" s="75"/>
      <c r="M280" s="75"/>
      <c r="N280" s="75"/>
    </row>
    <row r="281" spans="1:14" ht="12.75">
      <c r="A281" s="75"/>
      <c r="B281" s="75"/>
      <c r="C281" s="75"/>
      <c r="D281" s="75"/>
      <c r="E281" s="75"/>
      <c r="F281" s="75"/>
      <c r="G281" s="75"/>
      <c r="H281" s="75"/>
      <c r="M281" s="75"/>
      <c r="N281" s="75"/>
    </row>
    <row r="282" spans="1:14" ht="12.75">
      <c r="A282" s="75"/>
      <c r="B282" s="75"/>
      <c r="C282" s="75"/>
      <c r="D282" s="75"/>
      <c r="E282" s="75"/>
      <c r="F282" s="75"/>
      <c r="G282" s="75"/>
      <c r="H282" s="75"/>
      <c r="M282" s="75"/>
      <c r="N282" s="75"/>
    </row>
    <row r="283" spans="1:14" ht="12.75">
      <c r="A283" s="75"/>
      <c r="B283" s="75"/>
      <c r="C283" s="75"/>
      <c r="D283" s="75"/>
      <c r="E283" s="75"/>
      <c r="F283" s="75"/>
      <c r="G283" s="75"/>
      <c r="H283" s="75"/>
      <c r="M283" s="75"/>
      <c r="N283" s="75"/>
    </row>
    <row r="284" spans="1:14" ht="12.75">
      <c r="A284" s="75"/>
      <c r="B284" s="75"/>
      <c r="C284" s="75"/>
      <c r="D284" s="75"/>
      <c r="E284" s="75"/>
      <c r="F284" s="75"/>
      <c r="G284" s="75"/>
      <c r="H284" s="75"/>
      <c r="M284" s="75"/>
      <c r="N284" s="75"/>
    </row>
    <row r="285" spans="1:14" ht="12.75">
      <c r="A285" s="75"/>
      <c r="B285" s="75"/>
      <c r="C285" s="75"/>
      <c r="D285" s="75"/>
      <c r="E285" s="75"/>
      <c r="F285" s="75"/>
      <c r="G285" s="75"/>
      <c r="H285" s="75"/>
      <c r="M285" s="75"/>
      <c r="N285" s="75"/>
    </row>
    <row r="286" spans="1:14" ht="12.75">
      <c r="A286" s="75"/>
      <c r="B286" s="75"/>
      <c r="C286" s="75"/>
      <c r="D286" s="75"/>
      <c r="E286" s="75"/>
      <c r="F286" s="75"/>
      <c r="G286" s="75"/>
      <c r="H286" s="75"/>
      <c r="M286" s="75"/>
      <c r="N286" s="75"/>
    </row>
    <row r="287" spans="1:14" ht="12.75">
      <c r="A287" s="75"/>
      <c r="B287" s="75"/>
      <c r="C287" s="75"/>
      <c r="D287" s="75"/>
      <c r="E287" s="75"/>
      <c r="F287" s="75"/>
      <c r="G287" s="75"/>
      <c r="H287" s="75"/>
      <c r="M287" s="75"/>
      <c r="N287" s="75"/>
    </row>
    <row r="288" spans="1:14" ht="12.75">
      <c r="A288" s="75"/>
      <c r="B288" s="75"/>
      <c r="C288" s="75"/>
      <c r="D288" s="75"/>
      <c r="E288" s="75"/>
      <c r="F288" s="75"/>
      <c r="G288" s="75"/>
      <c r="H288" s="75"/>
      <c r="M288" s="75"/>
      <c r="N288" s="75"/>
    </row>
    <row r="289" spans="1:14" ht="12.75">
      <c r="A289" s="75"/>
      <c r="B289" s="75"/>
      <c r="C289" s="75"/>
      <c r="D289" s="75"/>
      <c r="E289" s="75"/>
      <c r="F289" s="75"/>
      <c r="G289" s="75"/>
      <c r="H289" s="75"/>
      <c r="M289" s="75"/>
      <c r="N289" s="75"/>
    </row>
    <row r="290" spans="1:14" ht="12.75">
      <c r="A290" s="75"/>
      <c r="B290" s="75"/>
      <c r="C290" s="75"/>
      <c r="D290" s="75"/>
      <c r="E290" s="75"/>
      <c r="F290" s="75"/>
      <c r="G290" s="75"/>
      <c r="H290" s="75"/>
      <c r="M290" s="75"/>
      <c r="N290" s="75"/>
    </row>
    <row r="291" spans="1:14" ht="12.75">
      <c r="A291" s="75"/>
      <c r="B291" s="75"/>
      <c r="C291" s="75"/>
      <c r="D291" s="75"/>
      <c r="E291" s="75"/>
      <c r="F291" s="75"/>
      <c r="G291" s="75"/>
      <c r="H291" s="75"/>
      <c r="M291" s="75"/>
      <c r="N291" s="75"/>
    </row>
    <row r="292" spans="1:14" ht="12.75">
      <c r="A292" s="75"/>
      <c r="B292" s="75"/>
      <c r="C292" s="75"/>
      <c r="D292" s="75"/>
      <c r="E292" s="75"/>
      <c r="F292" s="75"/>
      <c r="G292" s="75"/>
      <c r="H292" s="75"/>
      <c r="M292" s="75"/>
      <c r="N292" s="75"/>
    </row>
    <row r="293" spans="1:14" ht="12.75">
      <c r="A293" s="75"/>
      <c r="B293" s="75"/>
      <c r="C293" s="75"/>
      <c r="D293" s="75"/>
      <c r="E293" s="75"/>
      <c r="F293" s="75"/>
      <c r="G293" s="75"/>
      <c r="H293" s="75"/>
      <c r="M293" s="75"/>
      <c r="N293" s="75"/>
    </row>
    <row r="294" spans="1:14" ht="12.75">
      <c r="A294" s="75"/>
      <c r="B294" s="75"/>
      <c r="C294" s="75"/>
      <c r="D294" s="75"/>
      <c r="E294" s="75"/>
      <c r="F294" s="75"/>
      <c r="G294" s="75"/>
      <c r="H294" s="75"/>
      <c r="M294" s="75"/>
      <c r="N294" s="75"/>
    </row>
    <row r="295" spans="1:14" ht="12.75">
      <c r="A295" s="75"/>
      <c r="B295" s="75"/>
      <c r="C295" s="75"/>
      <c r="D295" s="75"/>
      <c r="E295" s="75"/>
      <c r="F295" s="75"/>
      <c r="G295" s="75"/>
      <c r="H295" s="75"/>
      <c r="M295" s="75"/>
      <c r="N295" s="75"/>
    </row>
    <row r="296" spans="1:14" ht="12.75">
      <c r="A296" s="75"/>
      <c r="B296" s="75"/>
      <c r="C296" s="75"/>
      <c r="D296" s="75"/>
      <c r="E296" s="75"/>
      <c r="F296" s="75"/>
      <c r="G296" s="75"/>
      <c r="H296" s="75"/>
      <c r="M296" s="75"/>
      <c r="N296" s="75"/>
    </row>
    <row r="297" spans="1:14" ht="12.75">
      <c r="A297" s="75"/>
      <c r="B297" s="75"/>
      <c r="C297" s="75"/>
      <c r="D297" s="75"/>
      <c r="E297" s="75"/>
      <c r="F297" s="75"/>
      <c r="G297" s="75"/>
      <c r="H297" s="75"/>
      <c r="M297" s="75"/>
      <c r="N297" s="75"/>
    </row>
    <row r="298" spans="1:14" ht="12.75">
      <c r="A298" s="75"/>
      <c r="B298" s="75"/>
      <c r="C298" s="75"/>
      <c r="D298" s="75"/>
      <c r="E298" s="75"/>
      <c r="F298" s="75"/>
      <c r="G298" s="75"/>
      <c r="H298" s="75"/>
      <c r="M298" s="75"/>
      <c r="N298" s="75"/>
    </row>
    <row r="299" spans="1:14" ht="12.75">
      <c r="A299" s="75"/>
      <c r="B299" s="75"/>
      <c r="C299" s="75"/>
      <c r="D299" s="75"/>
      <c r="E299" s="75"/>
      <c r="F299" s="75"/>
      <c r="G299" s="75"/>
      <c r="H299" s="75"/>
      <c r="M299" s="75"/>
      <c r="N299" s="75"/>
    </row>
    <row r="300" spans="1:14" ht="12.75">
      <c r="A300" s="75"/>
      <c r="B300" s="75"/>
      <c r="C300" s="75"/>
      <c r="D300" s="75"/>
      <c r="E300" s="75"/>
      <c r="F300" s="75"/>
      <c r="G300" s="75"/>
      <c r="H300" s="75"/>
      <c r="M300" s="75"/>
      <c r="N300" s="75"/>
    </row>
    <row r="301" spans="1:14" ht="12.75">
      <c r="A301" s="75"/>
      <c r="B301" s="75"/>
      <c r="C301" s="75"/>
      <c r="D301" s="75"/>
      <c r="E301" s="75"/>
      <c r="F301" s="75"/>
      <c r="G301" s="75"/>
      <c r="H301" s="75"/>
      <c r="M301" s="75"/>
      <c r="N301" s="75"/>
    </row>
    <row r="302" spans="1:14" ht="12.75">
      <c r="A302" s="75"/>
      <c r="B302" s="75"/>
      <c r="C302" s="75"/>
      <c r="D302" s="75"/>
      <c r="E302" s="75"/>
      <c r="F302" s="75"/>
      <c r="G302" s="75"/>
      <c r="H302" s="75"/>
      <c r="M302" s="75"/>
      <c r="N302" s="75"/>
    </row>
    <row r="303" spans="1:14" ht="12.75">
      <c r="A303" s="75"/>
      <c r="B303" s="75"/>
      <c r="C303" s="75"/>
      <c r="D303" s="75"/>
      <c r="E303" s="75"/>
      <c r="F303" s="75"/>
      <c r="G303" s="75"/>
      <c r="H303" s="75"/>
      <c r="M303" s="75"/>
      <c r="N303" s="75"/>
    </row>
    <row r="304" spans="1:14" ht="12.75">
      <c r="A304" s="75"/>
      <c r="B304" s="75"/>
      <c r="C304" s="75"/>
      <c r="D304" s="75"/>
      <c r="E304" s="75"/>
      <c r="F304" s="75"/>
      <c r="G304" s="75"/>
      <c r="H304" s="75"/>
      <c r="M304" s="75"/>
      <c r="N304" s="75"/>
    </row>
    <row r="305" spans="1:14" ht="12.75">
      <c r="A305" s="75"/>
      <c r="B305" s="75"/>
      <c r="C305" s="75"/>
      <c r="D305" s="75"/>
      <c r="E305" s="75"/>
      <c r="F305" s="75"/>
      <c r="G305" s="75"/>
      <c r="H305" s="75"/>
      <c r="M305" s="75"/>
      <c r="N305" s="75"/>
    </row>
    <row r="306" spans="1:14" ht="12.75">
      <c r="A306" s="75"/>
      <c r="B306" s="75"/>
      <c r="C306" s="75"/>
      <c r="D306" s="75"/>
      <c r="E306" s="75"/>
      <c r="F306" s="75"/>
      <c r="G306" s="75"/>
      <c r="H306" s="75"/>
      <c r="M306" s="75"/>
      <c r="N306" s="75"/>
    </row>
    <row r="307" spans="1:14" ht="12.75">
      <c r="A307" s="75"/>
      <c r="B307" s="75"/>
      <c r="C307" s="75"/>
      <c r="D307" s="75"/>
      <c r="E307" s="75"/>
      <c r="F307" s="75"/>
      <c r="G307" s="75"/>
      <c r="H307" s="75"/>
      <c r="M307" s="75"/>
      <c r="N307" s="75"/>
    </row>
    <row r="308" spans="1:14" ht="12.75">
      <c r="A308" s="75"/>
      <c r="B308" s="75"/>
      <c r="C308" s="75"/>
      <c r="D308" s="75"/>
      <c r="E308" s="75"/>
      <c r="F308" s="75"/>
      <c r="G308" s="75"/>
      <c r="H308" s="75"/>
      <c r="M308" s="75"/>
      <c r="N308" s="75"/>
    </row>
    <row r="309" spans="1:14" ht="12.75">
      <c r="A309" s="75"/>
      <c r="B309" s="75"/>
      <c r="C309" s="75"/>
      <c r="D309" s="75"/>
      <c r="E309" s="75"/>
      <c r="F309" s="75"/>
      <c r="G309" s="75"/>
      <c r="H309" s="75"/>
      <c r="M309" s="75"/>
      <c r="N309" s="75"/>
    </row>
    <row r="310" spans="1:14" ht="12.75">
      <c r="A310" s="75"/>
      <c r="B310" s="75"/>
      <c r="C310" s="75"/>
      <c r="D310" s="75"/>
      <c r="E310" s="75"/>
      <c r="F310" s="75"/>
      <c r="G310" s="75"/>
      <c r="H310" s="75"/>
      <c r="M310" s="75"/>
      <c r="N310" s="75"/>
    </row>
    <row r="311" spans="1:14" ht="12.75">
      <c r="A311" s="75"/>
      <c r="B311" s="75"/>
      <c r="C311" s="75"/>
      <c r="D311" s="75"/>
      <c r="E311" s="75"/>
      <c r="F311" s="75"/>
      <c r="G311" s="75"/>
      <c r="H311" s="75"/>
      <c r="M311" s="75"/>
      <c r="N311" s="75"/>
    </row>
    <row r="312" spans="1:14" ht="12.75">
      <c r="A312" s="75"/>
      <c r="B312" s="75"/>
      <c r="C312" s="75"/>
      <c r="D312" s="75"/>
      <c r="E312" s="75"/>
      <c r="F312" s="75"/>
      <c r="G312" s="75"/>
      <c r="H312" s="75"/>
      <c r="M312" s="75"/>
      <c r="N312" s="75"/>
    </row>
    <row r="313" spans="1:14" ht="12.75">
      <c r="A313" s="75"/>
      <c r="B313" s="75"/>
      <c r="C313" s="75"/>
      <c r="D313" s="75"/>
      <c r="E313" s="75"/>
      <c r="F313" s="75"/>
      <c r="G313" s="75"/>
      <c r="H313" s="75"/>
      <c r="M313" s="75"/>
      <c r="N313" s="75"/>
    </row>
    <row r="314" spans="1:14" ht="12.75">
      <c r="A314" s="75"/>
      <c r="B314" s="75"/>
      <c r="C314" s="75"/>
      <c r="D314" s="75"/>
      <c r="E314" s="75"/>
      <c r="F314" s="75"/>
      <c r="G314" s="75"/>
      <c r="H314" s="75"/>
      <c r="M314" s="75"/>
      <c r="N314" s="75"/>
    </row>
    <row r="315" spans="1:14" ht="12.75">
      <c r="A315" s="75"/>
      <c r="B315" s="75"/>
      <c r="C315" s="75"/>
      <c r="D315" s="75"/>
      <c r="E315" s="75"/>
      <c r="F315" s="75"/>
      <c r="G315" s="75"/>
      <c r="H315" s="75"/>
      <c r="M315" s="75"/>
      <c r="N315" s="75"/>
    </row>
    <row r="316" spans="1:14" ht="12.75">
      <c r="A316" s="75"/>
      <c r="B316" s="75"/>
      <c r="C316" s="75"/>
      <c r="D316" s="75"/>
      <c r="E316" s="75"/>
      <c r="F316" s="75"/>
      <c r="G316" s="75"/>
      <c r="H316" s="75"/>
      <c r="M316" s="75"/>
      <c r="N316" s="75"/>
    </row>
    <row r="317" spans="1:14" ht="12.75">
      <c r="A317" s="75"/>
      <c r="B317" s="75"/>
      <c r="C317" s="75"/>
      <c r="D317" s="75"/>
      <c r="E317" s="75"/>
      <c r="F317" s="75"/>
      <c r="G317" s="75"/>
      <c r="H317" s="75"/>
      <c r="M317" s="75"/>
      <c r="N317" s="75"/>
    </row>
    <row r="318" spans="1:14" ht="12.75">
      <c r="A318" s="75"/>
      <c r="B318" s="75"/>
      <c r="C318" s="75"/>
      <c r="D318" s="75"/>
      <c r="E318" s="75"/>
      <c r="F318" s="75"/>
      <c r="G318" s="75"/>
      <c r="H318" s="75"/>
      <c r="M318" s="75"/>
      <c r="N318" s="75"/>
    </row>
    <row r="319" spans="1:14" ht="12.75">
      <c r="A319" s="75"/>
      <c r="B319" s="75"/>
      <c r="C319" s="75"/>
      <c r="D319" s="75"/>
      <c r="E319" s="75"/>
      <c r="F319" s="75"/>
      <c r="G319" s="75"/>
      <c r="H319" s="75"/>
      <c r="M319" s="75"/>
      <c r="N319" s="75"/>
    </row>
    <row r="320" spans="1:14" ht="12.75">
      <c r="A320" s="75"/>
      <c r="B320" s="75"/>
      <c r="C320" s="75"/>
      <c r="D320" s="75"/>
      <c r="E320" s="75"/>
      <c r="F320" s="75"/>
      <c r="G320" s="75"/>
      <c r="H320" s="75"/>
      <c r="M320" s="75"/>
      <c r="N320" s="75"/>
    </row>
    <row r="321" spans="1:14" ht="12.75">
      <c r="A321" s="75"/>
      <c r="B321" s="75"/>
      <c r="C321" s="75"/>
      <c r="D321" s="75"/>
      <c r="E321" s="75"/>
      <c r="F321" s="75"/>
      <c r="G321" s="75"/>
      <c r="H321" s="75"/>
      <c r="M321" s="75"/>
      <c r="N321" s="75"/>
    </row>
    <row r="322" spans="1:14" ht="12.75">
      <c r="A322" s="75"/>
      <c r="B322" s="75"/>
      <c r="C322" s="75"/>
      <c r="D322" s="75"/>
      <c r="E322" s="75"/>
      <c r="F322" s="75"/>
      <c r="G322" s="75"/>
      <c r="H322" s="75"/>
      <c r="M322" s="75"/>
      <c r="N322" s="75"/>
    </row>
    <row r="323" spans="1:14" ht="12.75">
      <c r="A323" s="75"/>
      <c r="B323" s="75"/>
      <c r="C323" s="75"/>
      <c r="D323" s="75"/>
      <c r="E323" s="75"/>
      <c r="F323" s="75"/>
      <c r="G323" s="75"/>
      <c r="H323" s="75"/>
      <c r="M323" s="75"/>
      <c r="N323" s="75"/>
    </row>
    <row r="324" spans="1:14" ht="12.75">
      <c r="A324" s="75"/>
      <c r="B324" s="75"/>
      <c r="C324" s="75"/>
      <c r="D324" s="75"/>
      <c r="E324" s="75"/>
      <c r="F324" s="75"/>
      <c r="G324" s="75"/>
      <c r="H324" s="75"/>
      <c r="M324" s="75"/>
      <c r="N324" s="75"/>
    </row>
    <row r="325" spans="1:14" ht="12.75">
      <c r="A325" s="75"/>
      <c r="B325" s="75"/>
      <c r="C325" s="75"/>
      <c r="D325" s="75"/>
      <c r="E325" s="75"/>
      <c r="F325" s="75"/>
      <c r="G325" s="75"/>
      <c r="H325" s="75"/>
      <c r="M325" s="75"/>
      <c r="N325" s="75"/>
    </row>
    <row r="326" spans="1:14" ht="12.75">
      <c r="A326" s="75"/>
      <c r="B326" s="75"/>
      <c r="C326" s="75"/>
      <c r="D326" s="75"/>
      <c r="E326" s="75"/>
      <c r="F326" s="75"/>
      <c r="G326" s="75"/>
      <c r="H326" s="75"/>
      <c r="M326" s="75"/>
      <c r="N326" s="75"/>
    </row>
    <row r="327" spans="1:14" ht="12.75">
      <c r="A327" s="75"/>
      <c r="B327" s="75"/>
      <c r="C327" s="75"/>
      <c r="D327" s="75"/>
      <c r="E327" s="75"/>
      <c r="F327" s="75"/>
      <c r="G327" s="75"/>
      <c r="H327" s="75"/>
      <c r="M327" s="75"/>
      <c r="N327" s="75"/>
    </row>
    <row r="328" spans="1:14" ht="12.75">
      <c r="A328" s="75"/>
      <c r="B328" s="75"/>
      <c r="C328" s="75"/>
      <c r="D328" s="75"/>
      <c r="E328" s="75"/>
      <c r="F328" s="75"/>
      <c r="G328" s="75"/>
      <c r="H328" s="75"/>
      <c r="M328" s="75"/>
      <c r="N328" s="75"/>
    </row>
    <row r="329" spans="1:14" ht="12.75">
      <c r="A329" s="75"/>
      <c r="B329" s="75"/>
      <c r="C329" s="75"/>
      <c r="D329" s="75"/>
      <c r="E329" s="75"/>
      <c r="F329" s="75"/>
      <c r="G329" s="75"/>
      <c r="H329" s="75"/>
      <c r="M329" s="75"/>
      <c r="N329" s="75"/>
    </row>
    <row r="330" spans="1:14" ht="12.75">
      <c r="A330" s="75"/>
      <c r="B330" s="75"/>
      <c r="C330" s="75"/>
      <c r="D330" s="75"/>
      <c r="E330" s="75"/>
      <c r="F330" s="75"/>
      <c r="G330" s="75"/>
      <c r="H330" s="75"/>
      <c r="M330" s="75"/>
      <c r="N330" s="75"/>
    </row>
    <row r="331" spans="1:14" ht="12.75">
      <c r="A331" s="75"/>
      <c r="B331" s="75"/>
      <c r="C331" s="75"/>
      <c r="D331" s="75"/>
      <c r="E331" s="75"/>
      <c r="F331" s="75"/>
      <c r="G331" s="75"/>
      <c r="H331" s="75"/>
      <c r="M331" s="75"/>
      <c r="N331" s="75"/>
    </row>
    <row r="332" spans="1:14" ht="12.75">
      <c r="A332" s="75"/>
      <c r="B332" s="75"/>
      <c r="C332" s="75"/>
      <c r="D332" s="75"/>
      <c r="E332" s="75"/>
      <c r="F332" s="75"/>
      <c r="G332" s="75"/>
      <c r="H332" s="75"/>
      <c r="M332" s="75"/>
      <c r="N332" s="75"/>
    </row>
    <row r="333" spans="1:14" ht="12.75">
      <c r="A333" s="75"/>
      <c r="B333" s="75"/>
      <c r="C333" s="75"/>
      <c r="D333" s="75"/>
      <c r="E333" s="75"/>
      <c r="F333" s="75"/>
      <c r="G333" s="75"/>
      <c r="H333" s="75"/>
      <c r="M333" s="75"/>
      <c r="N333" s="75"/>
    </row>
    <row r="334" spans="1:14" ht="12.75">
      <c r="A334" s="75"/>
      <c r="B334" s="75"/>
      <c r="C334" s="75"/>
      <c r="D334" s="75"/>
      <c r="E334" s="75"/>
      <c r="F334" s="75"/>
      <c r="G334" s="75"/>
      <c r="H334" s="75"/>
      <c r="M334" s="75"/>
      <c r="N334" s="75"/>
    </row>
    <row r="335" spans="1:14" ht="12.75">
      <c r="A335" s="75"/>
      <c r="B335" s="75"/>
      <c r="C335" s="75"/>
      <c r="D335" s="75"/>
      <c r="E335" s="75"/>
      <c r="F335" s="75"/>
      <c r="G335" s="75"/>
      <c r="H335" s="75"/>
      <c r="M335" s="75"/>
      <c r="N335" s="75"/>
    </row>
    <row r="336" spans="1:14" ht="12.75">
      <c r="A336" s="75"/>
      <c r="B336" s="75"/>
      <c r="C336" s="75"/>
      <c r="D336" s="75"/>
      <c r="E336" s="75"/>
      <c r="F336" s="75"/>
      <c r="G336" s="75"/>
      <c r="H336" s="75"/>
      <c r="M336" s="75"/>
      <c r="N336" s="75"/>
    </row>
    <row r="337" spans="1:14" ht="12.75">
      <c r="A337" s="75"/>
      <c r="B337" s="75"/>
      <c r="C337" s="75"/>
      <c r="D337" s="75"/>
      <c r="E337" s="75"/>
      <c r="F337" s="75"/>
      <c r="G337" s="75"/>
      <c r="H337" s="75"/>
      <c r="M337" s="75"/>
      <c r="N337" s="75"/>
    </row>
    <row r="338" spans="1:14" ht="12.75">
      <c r="A338" s="75"/>
      <c r="B338" s="75"/>
      <c r="C338" s="75"/>
      <c r="D338" s="75"/>
      <c r="E338" s="75"/>
      <c r="F338" s="75"/>
      <c r="G338" s="75"/>
      <c r="H338" s="75"/>
      <c r="M338" s="75"/>
      <c r="N338" s="75"/>
    </row>
    <row r="339" spans="1:14" ht="12.75">
      <c r="A339" s="75"/>
      <c r="B339" s="75"/>
      <c r="C339" s="75"/>
      <c r="D339" s="75"/>
      <c r="E339" s="75"/>
      <c r="F339" s="75"/>
      <c r="G339" s="75"/>
      <c r="H339" s="75"/>
      <c r="M339" s="75"/>
      <c r="N339" s="75"/>
    </row>
    <row r="340" spans="1:14" ht="12.75">
      <c r="A340" s="75"/>
      <c r="B340" s="75"/>
      <c r="C340" s="75"/>
      <c r="D340" s="75"/>
      <c r="E340" s="75"/>
      <c r="F340" s="75"/>
      <c r="G340" s="75"/>
      <c r="H340" s="75"/>
      <c r="M340" s="75"/>
      <c r="N340" s="75"/>
    </row>
    <row r="341" spans="1:14" ht="12.75">
      <c r="A341" s="75"/>
      <c r="B341" s="75"/>
      <c r="C341" s="75"/>
      <c r="D341" s="75"/>
      <c r="E341" s="75"/>
      <c r="F341" s="75"/>
      <c r="G341" s="75"/>
      <c r="H341" s="75"/>
      <c r="M341" s="75"/>
      <c r="N341" s="75"/>
    </row>
    <row r="342" spans="1:14" ht="12.75">
      <c r="A342" s="75"/>
      <c r="B342" s="75"/>
      <c r="C342" s="75"/>
      <c r="D342" s="75"/>
      <c r="E342" s="75"/>
      <c r="F342" s="75"/>
      <c r="G342" s="75"/>
      <c r="H342" s="75"/>
      <c r="M342" s="75"/>
      <c r="N342" s="75"/>
    </row>
    <row r="343" spans="1:14" ht="12.75">
      <c r="A343" s="75"/>
      <c r="B343" s="75"/>
      <c r="C343" s="75"/>
      <c r="D343" s="75"/>
      <c r="E343" s="75"/>
      <c r="F343" s="75"/>
      <c r="G343" s="75"/>
      <c r="H343" s="75"/>
      <c r="M343" s="75"/>
      <c r="N343" s="75"/>
    </row>
    <row r="344" spans="1:14" ht="12.75">
      <c r="A344" s="75"/>
      <c r="B344" s="75"/>
      <c r="C344" s="75"/>
      <c r="D344" s="75"/>
      <c r="E344" s="75"/>
      <c r="F344" s="75"/>
      <c r="G344" s="75"/>
      <c r="H344" s="75"/>
      <c r="M344" s="75"/>
      <c r="N344" s="75"/>
    </row>
    <row r="345" spans="1:14" ht="12.75">
      <c r="A345" s="75"/>
      <c r="B345" s="75"/>
      <c r="C345" s="75"/>
      <c r="D345" s="75"/>
      <c r="E345" s="75"/>
      <c r="F345" s="75"/>
      <c r="G345" s="75"/>
      <c r="H345" s="75"/>
      <c r="M345" s="75"/>
      <c r="N345" s="75"/>
    </row>
    <row r="346" spans="1:14" ht="12.75">
      <c r="A346" s="75"/>
      <c r="B346" s="75"/>
      <c r="C346" s="75"/>
      <c r="D346" s="75"/>
      <c r="E346" s="75"/>
      <c r="F346" s="75"/>
      <c r="G346" s="75"/>
      <c r="H346" s="75"/>
      <c r="M346" s="75"/>
      <c r="N346" s="75"/>
    </row>
    <row r="347" spans="1:14" ht="12.75">
      <c r="A347" s="75"/>
      <c r="B347" s="75"/>
      <c r="C347" s="75"/>
      <c r="D347" s="75"/>
      <c r="E347" s="75"/>
      <c r="F347" s="75"/>
      <c r="G347" s="75"/>
      <c r="H347" s="75"/>
      <c r="M347" s="75"/>
      <c r="N347" s="75"/>
    </row>
    <row r="348" spans="1:14" ht="12.75">
      <c r="A348" s="75"/>
      <c r="B348" s="75"/>
      <c r="C348" s="75"/>
      <c r="D348" s="75"/>
      <c r="E348" s="75"/>
      <c r="F348" s="75"/>
      <c r="G348" s="75"/>
      <c r="H348" s="75"/>
      <c r="M348" s="75"/>
      <c r="N348" s="75"/>
    </row>
    <row r="349" spans="1:14" ht="12.75">
      <c r="A349" s="75"/>
      <c r="B349" s="75"/>
      <c r="C349" s="75"/>
      <c r="D349" s="75"/>
      <c r="E349" s="75"/>
      <c r="F349" s="75"/>
      <c r="G349" s="75"/>
      <c r="H349" s="75"/>
      <c r="M349" s="75"/>
      <c r="N349" s="75"/>
    </row>
    <row r="350" spans="1:14" ht="12.75">
      <c r="A350" s="75"/>
      <c r="B350" s="75"/>
      <c r="C350" s="75"/>
      <c r="D350" s="75"/>
      <c r="E350" s="75"/>
      <c r="F350" s="75"/>
      <c r="G350" s="75"/>
      <c r="H350" s="75"/>
      <c r="M350" s="75"/>
      <c r="N350" s="75"/>
    </row>
    <row r="351" spans="1:14" ht="12.75">
      <c r="A351" s="75"/>
      <c r="B351" s="75"/>
      <c r="C351" s="75"/>
      <c r="D351" s="75"/>
      <c r="E351" s="75"/>
      <c r="F351" s="75"/>
      <c r="G351" s="75"/>
      <c r="H351" s="75"/>
      <c r="M351" s="75"/>
      <c r="N351" s="75"/>
    </row>
    <row r="352" spans="1:14" ht="12.75">
      <c r="A352" s="75"/>
      <c r="B352" s="75"/>
      <c r="C352" s="75"/>
      <c r="D352" s="75"/>
      <c r="E352" s="75"/>
      <c r="F352" s="75"/>
      <c r="G352" s="75"/>
      <c r="H352" s="75"/>
      <c r="M352" s="75"/>
      <c r="N352" s="75"/>
    </row>
    <row r="353" spans="1:14" ht="12.75">
      <c r="A353" s="75"/>
      <c r="B353" s="75"/>
      <c r="C353" s="75"/>
      <c r="D353" s="75"/>
      <c r="E353" s="75"/>
      <c r="F353" s="75"/>
      <c r="G353" s="75"/>
      <c r="H353" s="75"/>
      <c r="M353" s="75"/>
      <c r="N353" s="75"/>
    </row>
    <row r="354" spans="1:14" ht="12.75">
      <c r="A354" s="75"/>
      <c r="B354" s="75"/>
      <c r="C354" s="75"/>
      <c r="D354" s="75"/>
      <c r="E354" s="75"/>
      <c r="F354" s="75"/>
      <c r="G354" s="75"/>
      <c r="H354" s="75"/>
      <c r="M354" s="75"/>
      <c r="N354" s="75"/>
    </row>
    <row r="355" spans="1:14" ht="12.75">
      <c r="A355" s="75"/>
      <c r="B355" s="75"/>
      <c r="C355" s="75"/>
      <c r="D355" s="75"/>
      <c r="E355" s="75"/>
      <c r="F355" s="75"/>
      <c r="G355" s="75"/>
      <c r="H355" s="75"/>
      <c r="M355" s="75"/>
      <c r="N355" s="75"/>
    </row>
    <row r="356" spans="1:14" ht="12.75">
      <c r="A356" s="75"/>
      <c r="B356" s="75"/>
      <c r="C356" s="75"/>
      <c r="D356" s="75"/>
      <c r="E356" s="75"/>
      <c r="F356" s="75"/>
      <c r="G356" s="75"/>
      <c r="H356" s="75"/>
      <c r="M356" s="75"/>
      <c r="N356" s="75"/>
    </row>
    <row r="357" spans="1:14" ht="12.75">
      <c r="A357" s="75"/>
      <c r="B357" s="75"/>
      <c r="C357" s="75"/>
      <c r="D357" s="75"/>
      <c r="E357" s="75"/>
      <c r="F357" s="75"/>
      <c r="G357" s="75"/>
      <c r="H357" s="75"/>
      <c r="M357" s="75"/>
      <c r="N357" s="75"/>
    </row>
    <row r="358" spans="1:14" ht="12.75">
      <c r="A358" s="75"/>
      <c r="B358" s="75"/>
      <c r="C358" s="75"/>
      <c r="D358" s="75"/>
      <c r="E358" s="75"/>
      <c r="F358" s="75"/>
      <c r="G358" s="75"/>
      <c r="H358" s="75"/>
      <c r="M358" s="75"/>
      <c r="N358" s="75"/>
    </row>
    <row r="359" spans="1:14" ht="12.75">
      <c r="A359" s="75"/>
      <c r="B359" s="75"/>
      <c r="C359" s="75"/>
      <c r="D359" s="75"/>
      <c r="E359" s="75"/>
      <c r="F359" s="75"/>
      <c r="G359" s="75"/>
      <c r="H359" s="75"/>
      <c r="M359" s="75"/>
      <c r="N359" s="75"/>
    </row>
    <row r="360" spans="1:14" ht="12.75">
      <c r="A360" s="75"/>
      <c r="B360" s="75"/>
      <c r="C360" s="75"/>
      <c r="D360" s="75"/>
      <c r="E360" s="75"/>
      <c r="F360" s="75"/>
      <c r="G360" s="75"/>
      <c r="H360" s="75"/>
      <c r="M360" s="75"/>
      <c r="N360" s="75"/>
    </row>
    <row r="361" spans="1:14" ht="12.75">
      <c r="A361" s="75"/>
      <c r="B361" s="75"/>
      <c r="C361" s="75"/>
      <c r="D361" s="75"/>
      <c r="E361" s="75"/>
      <c r="F361" s="75"/>
      <c r="G361" s="75"/>
      <c r="H361" s="75"/>
      <c r="M361" s="75"/>
      <c r="N361" s="75"/>
    </row>
    <row r="362" spans="1:14" ht="12.75">
      <c r="A362" s="75"/>
      <c r="B362" s="75"/>
      <c r="C362" s="75"/>
      <c r="D362" s="75"/>
      <c r="E362" s="75"/>
      <c r="F362" s="75"/>
      <c r="G362" s="75"/>
      <c r="H362" s="75"/>
      <c r="M362" s="75"/>
      <c r="N362" s="75"/>
    </row>
    <row r="363" spans="1:14" ht="12.75">
      <c r="A363" s="75"/>
      <c r="B363" s="75"/>
      <c r="C363" s="75"/>
      <c r="D363" s="75"/>
      <c r="E363" s="75"/>
      <c r="F363" s="75"/>
      <c r="G363" s="75"/>
      <c r="H363" s="75"/>
      <c r="M363" s="75"/>
      <c r="N363" s="75"/>
    </row>
    <row r="364" spans="1:14" ht="12.75">
      <c r="A364" s="75"/>
      <c r="B364" s="75"/>
      <c r="C364" s="75"/>
      <c r="D364" s="75"/>
      <c r="E364" s="75"/>
      <c r="F364" s="75"/>
      <c r="G364" s="75"/>
      <c r="H364" s="75"/>
      <c r="M364" s="75"/>
      <c r="N364" s="75"/>
    </row>
    <row r="365" spans="1:14" ht="12.75">
      <c r="A365" s="75"/>
      <c r="B365" s="75"/>
      <c r="C365" s="75"/>
      <c r="D365" s="75"/>
      <c r="E365" s="75"/>
      <c r="F365" s="75"/>
      <c r="G365" s="75"/>
      <c r="H365" s="75"/>
      <c r="M365" s="75"/>
      <c r="N365" s="75"/>
    </row>
    <row r="366" spans="1:14" ht="12.75">
      <c r="A366" s="75"/>
      <c r="B366" s="75"/>
      <c r="C366" s="75"/>
      <c r="D366" s="75"/>
      <c r="E366" s="75"/>
      <c r="F366" s="75"/>
      <c r="G366" s="75"/>
      <c r="H366" s="75"/>
      <c r="M366" s="75"/>
      <c r="N366" s="75"/>
    </row>
    <row r="367" spans="1:14" ht="12.75">
      <c r="A367" s="75"/>
      <c r="B367" s="75"/>
      <c r="C367" s="75"/>
      <c r="D367" s="75"/>
      <c r="E367" s="75"/>
      <c r="F367" s="75"/>
      <c r="G367" s="75"/>
      <c r="H367" s="75"/>
      <c r="M367" s="75"/>
      <c r="N367" s="75"/>
    </row>
    <row r="368" spans="1:14" ht="12.75">
      <c r="A368" s="75"/>
      <c r="B368" s="75"/>
      <c r="C368" s="75"/>
      <c r="D368" s="75"/>
      <c r="E368" s="75"/>
      <c r="F368" s="75"/>
      <c r="G368" s="75"/>
      <c r="H368" s="75"/>
      <c r="M368" s="75"/>
      <c r="N368" s="75"/>
    </row>
    <row r="369" spans="1:14" ht="12.75">
      <c r="A369" s="75"/>
      <c r="B369" s="75"/>
      <c r="C369" s="75"/>
      <c r="D369" s="75"/>
      <c r="E369" s="75"/>
      <c r="F369" s="75"/>
      <c r="G369" s="75"/>
      <c r="H369" s="75"/>
      <c r="M369" s="75"/>
      <c r="N369" s="75"/>
    </row>
    <row r="370" spans="1:14" ht="12.75">
      <c r="A370" s="75"/>
      <c r="B370" s="75"/>
      <c r="C370" s="75"/>
      <c r="D370" s="75"/>
      <c r="E370" s="75"/>
      <c r="F370" s="75"/>
      <c r="G370" s="75"/>
      <c r="H370" s="75"/>
      <c r="M370" s="75"/>
      <c r="N370" s="75"/>
    </row>
    <row r="371" spans="1:14" ht="12.75">
      <c r="A371" s="75"/>
      <c r="B371" s="75"/>
      <c r="C371" s="75"/>
      <c r="D371" s="75"/>
      <c r="E371" s="75"/>
      <c r="F371" s="75"/>
      <c r="G371" s="75"/>
      <c r="H371" s="75"/>
      <c r="M371" s="75"/>
      <c r="N371" s="75"/>
    </row>
    <row r="372" spans="1:14" ht="12.75">
      <c r="A372" s="75"/>
      <c r="B372" s="75"/>
      <c r="C372" s="75"/>
      <c r="D372" s="75"/>
      <c r="E372" s="75"/>
      <c r="F372" s="75"/>
      <c r="G372" s="75"/>
      <c r="H372" s="75"/>
      <c r="M372" s="75"/>
      <c r="N372" s="75"/>
    </row>
    <row r="373" spans="1:14" ht="12.75">
      <c r="A373" s="75"/>
      <c r="B373" s="75"/>
      <c r="C373" s="75"/>
      <c r="D373" s="75"/>
      <c r="E373" s="75"/>
      <c r="F373" s="75"/>
      <c r="G373" s="75"/>
      <c r="H373" s="75"/>
      <c r="M373" s="75"/>
      <c r="N373" s="75"/>
    </row>
    <row r="374" spans="1:14" ht="12.75">
      <c r="A374" s="75"/>
      <c r="B374" s="75"/>
      <c r="C374" s="75"/>
      <c r="D374" s="75"/>
      <c r="E374" s="75"/>
      <c r="F374" s="75"/>
      <c r="G374" s="75"/>
      <c r="H374" s="75"/>
      <c r="M374" s="75"/>
      <c r="N374" s="75"/>
    </row>
    <row r="375" spans="1:14" ht="12.75">
      <c r="A375" s="75"/>
      <c r="B375" s="75"/>
      <c r="C375" s="75"/>
      <c r="D375" s="75"/>
      <c r="E375" s="75"/>
      <c r="F375" s="75"/>
      <c r="G375" s="75"/>
      <c r="H375" s="75"/>
      <c r="M375" s="75"/>
      <c r="N375" s="75"/>
    </row>
    <row r="376" spans="1:14" ht="12.75">
      <c r="A376" s="75"/>
      <c r="B376" s="75"/>
      <c r="C376" s="75"/>
      <c r="D376" s="75"/>
      <c r="E376" s="75"/>
      <c r="F376" s="75"/>
      <c r="G376" s="75"/>
      <c r="H376" s="75"/>
      <c r="M376" s="75"/>
      <c r="N376" s="75"/>
    </row>
    <row r="377" spans="1:14" ht="12.75">
      <c r="A377" s="75"/>
      <c r="B377" s="75"/>
      <c r="C377" s="75"/>
      <c r="D377" s="75"/>
      <c r="E377" s="75"/>
      <c r="F377" s="75"/>
      <c r="G377" s="75"/>
      <c r="H377" s="75"/>
      <c r="M377" s="75"/>
      <c r="N377" s="75"/>
    </row>
    <row r="378" spans="1:14" ht="12.75">
      <c r="A378" s="75"/>
      <c r="B378" s="75"/>
      <c r="C378" s="75"/>
      <c r="D378" s="75"/>
      <c r="E378" s="75"/>
      <c r="F378" s="75"/>
      <c r="G378" s="75"/>
      <c r="H378" s="75"/>
      <c r="M378" s="75"/>
      <c r="N378" s="75"/>
    </row>
    <row r="379" spans="1:14" ht="12.75">
      <c r="A379" s="75"/>
      <c r="B379" s="75"/>
      <c r="C379" s="75"/>
      <c r="D379" s="75"/>
      <c r="E379" s="75"/>
      <c r="F379" s="75"/>
      <c r="G379" s="75"/>
      <c r="H379" s="75"/>
      <c r="M379" s="75"/>
      <c r="N379" s="75"/>
    </row>
    <row r="380" spans="1:14" ht="12.75">
      <c r="A380" s="75"/>
      <c r="B380" s="75"/>
      <c r="C380" s="75"/>
      <c r="D380" s="75"/>
      <c r="E380" s="75"/>
      <c r="F380" s="75"/>
      <c r="G380" s="75"/>
      <c r="H380" s="75"/>
      <c r="M380" s="75"/>
      <c r="N380" s="75"/>
    </row>
    <row r="381" spans="1:14" ht="12.75">
      <c r="A381" s="75"/>
      <c r="B381" s="75"/>
      <c r="C381" s="75"/>
      <c r="D381" s="75"/>
      <c r="E381" s="75"/>
      <c r="F381" s="75"/>
      <c r="G381" s="75"/>
      <c r="H381" s="75"/>
      <c r="M381" s="75"/>
      <c r="N381" s="75"/>
    </row>
    <row r="382" spans="1:14" ht="12.75">
      <c r="A382" s="75"/>
      <c r="B382" s="75"/>
      <c r="C382" s="75"/>
      <c r="D382" s="75"/>
      <c r="E382" s="75"/>
      <c r="F382" s="75"/>
      <c r="G382" s="75"/>
      <c r="H382" s="75"/>
      <c r="M382" s="75"/>
      <c r="N382" s="75"/>
    </row>
    <row r="383" spans="1:14" ht="12.75">
      <c r="A383" s="75"/>
      <c r="B383" s="75"/>
      <c r="C383" s="75"/>
      <c r="D383" s="75"/>
      <c r="E383" s="75"/>
      <c r="F383" s="75"/>
      <c r="G383" s="75"/>
      <c r="H383" s="75"/>
      <c r="M383" s="75"/>
      <c r="N383" s="75"/>
    </row>
    <row r="384" spans="1:14" ht="12.75">
      <c r="A384" s="75"/>
      <c r="B384" s="75"/>
      <c r="C384" s="75"/>
      <c r="D384" s="75"/>
      <c r="E384" s="75"/>
      <c r="F384" s="75"/>
      <c r="G384" s="75"/>
      <c r="H384" s="75"/>
      <c r="M384" s="75"/>
      <c r="N384" s="75"/>
    </row>
    <row r="385" spans="1:14" ht="12.75">
      <c r="A385" s="75"/>
      <c r="B385" s="75"/>
      <c r="C385" s="75"/>
      <c r="D385" s="75"/>
      <c r="E385" s="75"/>
      <c r="F385" s="75"/>
      <c r="G385" s="75"/>
      <c r="H385" s="75"/>
      <c r="M385" s="75"/>
      <c r="N385" s="75"/>
    </row>
    <row r="386" spans="1:14" ht="12.75">
      <c r="A386" s="75"/>
      <c r="B386" s="75"/>
      <c r="C386" s="75"/>
      <c r="D386" s="75"/>
      <c r="E386" s="75"/>
      <c r="F386" s="75"/>
      <c r="G386" s="75"/>
      <c r="H386" s="75"/>
      <c r="M386" s="75"/>
      <c r="N386" s="75"/>
    </row>
    <row r="387" spans="1:14" ht="12.75">
      <c r="A387" s="75"/>
      <c r="B387" s="75"/>
      <c r="C387" s="75"/>
      <c r="D387" s="75"/>
      <c r="E387" s="75"/>
      <c r="F387" s="75"/>
      <c r="G387" s="75"/>
      <c r="H387" s="75"/>
      <c r="M387" s="75"/>
      <c r="N387" s="75"/>
    </row>
    <row r="388" spans="1:14" ht="12.75">
      <c r="A388" s="75"/>
      <c r="B388" s="75"/>
      <c r="C388" s="75"/>
      <c r="D388" s="75"/>
      <c r="E388" s="75"/>
      <c r="F388" s="75"/>
      <c r="G388" s="75"/>
      <c r="H388" s="75"/>
      <c r="M388" s="75"/>
      <c r="N388" s="75"/>
    </row>
    <row r="389" spans="1:14" ht="12.75">
      <c r="A389" s="75"/>
      <c r="B389" s="75"/>
      <c r="C389" s="75"/>
      <c r="D389" s="75"/>
      <c r="E389" s="75"/>
      <c r="F389" s="75"/>
      <c r="G389" s="75"/>
      <c r="H389" s="75"/>
      <c r="M389" s="75"/>
      <c r="N389" s="75"/>
    </row>
    <row r="390" spans="1:14" ht="12.75">
      <c r="A390" s="75"/>
      <c r="B390" s="75"/>
      <c r="C390" s="75"/>
      <c r="D390" s="75"/>
      <c r="E390" s="75"/>
      <c r="F390" s="75"/>
      <c r="G390" s="75"/>
      <c r="H390" s="75"/>
      <c r="M390" s="75"/>
      <c r="N390" s="75"/>
    </row>
    <row r="391" spans="1:14" ht="12.75">
      <c r="A391" s="75"/>
      <c r="B391" s="75"/>
      <c r="C391" s="75"/>
      <c r="D391" s="75"/>
      <c r="E391" s="75"/>
      <c r="F391" s="75"/>
      <c r="G391" s="75"/>
      <c r="H391" s="75"/>
      <c r="M391" s="75"/>
      <c r="N391" s="75"/>
    </row>
    <row r="392" spans="1:14" ht="12.75">
      <c r="A392" s="75"/>
      <c r="B392" s="75"/>
      <c r="C392" s="75"/>
      <c r="D392" s="75"/>
      <c r="E392" s="75"/>
      <c r="F392" s="75"/>
      <c r="G392" s="75"/>
      <c r="H392" s="75"/>
      <c r="M392" s="75"/>
      <c r="N392" s="75"/>
    </row>
    <row r="393" spans="1:14" ht="12.75">
      <c r="A393" s="75"/>
      <c r="B393" s="75"/>
      <c r="C393" s="75"/>
      <c r="D393" s="75"/>
      <c r="E393" s="75"/>
      <c r="F393" s="75"/>
      <c r="G393" s="75"/>
      <c r="H393" s="75"/>
      <c r="M393" s="75"/>
      <c r="N393" s="75"/>
    </row>
    <row r="394" spans="1:14" ht="12.75">
      <c r="A394" s="75"/>
      <c r="B394" s="75"/>
      <c r="C394" s="75"/>
      <c r="D394" s="75"/>
      <c r="E394" s="75"/>
      <c r="F394" s="75"/>
      <c r="G394" s="75"/>
      <c r="H394" s="75"/>
      <c r="M394" s="75"/>
      <c r="N394" s="75"/>
    </row>
    <row r="395" spans="1:14" ht="12.75">
      <c r="A395" s="75"/>
      <c r="B395" s="75"/>
      <c r="C395" s="75"/>
      <c r="D395" s="75"/>
      <c r="E395" s="75"/>
      <c r="F395" s="75"/>
      <c r="G395" s="75"/>
      <c r="H395" s="75"/>
      <c r="M395" s="75"/>
      <c r="N395" s="75"/>
    </row>
    <row r="396" spans="1:14" ht="12.75">
      <c r="A396" s="75"/>
      <c r="B396" s="75"/>
      <c r="C396" s="75"/>
      <c r="D396" s="75"/>
      <c r="E396" s="75"/>
      <c r="F396" s="75"/>
      <c r="G396" s="75"/>
      <c r="H396" s="75"/>
      <c r="M396" s="75"/>
      <c r="N396" s="75"/>
    </row>
    <row r="397" spans="1:14" ht="12.75">
      <c r="A397" s="75"/>
      <c r="B397" s="75"/>
      <c r="C397" s="75"/>
      <c r="D397" s="75"/>
      <c r="E397" s="75"/>
      <c r="F397" s="75"/>
      <c r="G397" s="75"/>
      <c r="H397" s="75"/>
      <c r="M397" s="75"/>
      <c r="N397" s="75"/>
    </row>
    <row r="398" spans="1:14" ht="12.75">
      <c r="A398" s="75"/>
      <c r="B398" s="75"/>
      <c r="C398" s="75"/>
      <c r="D398" s="75"/>
      <c r="E398" s="75"/>
      <c r="F398" s="75"/>
      <c r="G398" s="75"/>
      <c r="H398" s="75"/>
      <c r="M398" s="75"/>
      <c r="N398" s="75"/>
    </row>
    <row r="399" spans="1:14" ht="12.75">
      <c r="A399" s="75"/>
      <c r="B399" s="75"/>
      <c r="C399" s="75"/>
      <c r="D399" s="75"/>
      <c r="E399" s="75"/>
      <c r="F399" s="75"/>
      <c r="G399" s="75"/>
      <c r="H399" s="75"/>
      <c r="M399" s="75"/>
      <c r="N399" s="75"/>
    </row>
    <row r="400" spans="1:14" ht="12.75">
      <c r="A400" s="75"/>
      <c r="B400" s="75"/>
      <c r="C400" s="75"/>
      <c r="D400" s="75"/>
      <c r="E400" s="75"/>
      <c r="F400" s="75"/>
      <c r="G400" s="75"/>
      <c r="H400" s="75"/>
      <c r="M400" s="75"/>
      <c r="N400" s="75"/>
    </row>
    <row r="401" spans="1:14" ht="12.75">
      <c r="A401" s="75"/>
      <c r="B401" s="75"/>
      <c r="C401" s="75"/>
      <c r="D401" s="75"/>
      <c r="E401" s="75"/>
      <c r="F401" s="75"/>
      <c r="G401" s="75"/>
      <c r="H401" s="75"/>
      <c r="M401" s="75"/>
      <c r="N401" s="75"/>
    </row>
    <row r="402" spans="1:14" ht="12.75">
      <c r="A402" s="75"/>
      <c r="B402" s="75"/>
      <c r="C402" s="75"/>
      <c r="D402" s="75"/>
      <c r="E402" s="75"/>
      <c r="F402" s="75"/>
      <c r="G402" s="75"/>
      <c r="H402" s="75"/>
      <c r="M402" s="75"/>
      <c r="N402" s="75"/>
    </row>
    <row r="403" spans="1:14" ht="12.75">
      <c r="A403" s="75"/>
      <c r="B403" s="75"/>
      <c r="C403" s="75"/>
      <c r="D403" s="75"/>
      <c r="E403" s="75"/>
      <c r="F403" s="75"/>
      <c r="G403" s="75"/>
      <c r="H403" s="75"/>
      <c r="M403" s="75"/>
      <c r="N403" s="75"/>
    </row>
    <row r="404" spans="1:14" ht="12.75">
      <c r="A404" s="75"/>
      <c r="B404" s="75"/>
      <c r="C404" s="75"/>
      <c r="D404" s="75"/>
      <c r="E404" s="75"/>
      <c r="F404" s="75"/>
      <c r="G404" s="75"/>
      <c r="H404" s="75"/>
      <c r="M404" s="75"/>
      <c r="N404" s="75"/>
    </row>
    <row r="405" spans="1:14" ht="12.75">
      <c r="A405" s="75"/>
      <c r="B405" s="75"/>
      <c r="C405" s="75"/>
      <c r="D405" s="75"/>
      <c r="E405" s="75"/>
      <c r="F405" s="75"/>
      <c r="G405" s="75"/>
      <c r="H405" s="75"/>
      <c r="M405" s="75"/>
      <c r="N405" s="75"/>
    </row>
    <row r="406" spans="1:14" ht="12.75">
      <c r="A406" s="75"/>
      <c r="B406" s="75"/>
      <c r="C406" s="75"/>
      <c r="D406" s="75"/>
      <c r="E406" s="75"/>
      <c r="F406" s="75"/>
      <c r="G406" s="75"/>
      <c r="H406" s="75"/>
      <c r="M406" s="75"/>
      <c r="N406" s="75"/>
    </row>
    <row r="407" spans="1:14" ht="12.75">
      <c r="A407" s="75"/>
      <c r="B407" s="75"/>
      <c r="C407" s="75"/>
      <c r="D407" s="75"/>
      <c r="E407" s="75"/>
      <c r="F407" s="75"/>
      <c r="G407" s="75"/>
      <c r="H407" s="75"/>
      <c r="M407" s="75"/>
      <c r="N407" s="75"/>
    </row>
    <row r="408" spans="1:14" ht="12.75">
      <c r="A408" s="75"/>
      <c r="B408" s="75"/>
      <c r="C408" s="75"/>
      <c r="D408" s="75"/>
      <c r="E408" s="75"/>
      <c r="F408" s="75"/>
      <c r="G408" s="75"/>
      <c r="H408" s="75"/>
      <c r="M408" s="75"/>
      <c r="N408" s="75"/>
    </row>
    <row r="409" spans="1:14" ht="12.75">
      <c r="A409" s="75"/>
      <c r="B409" s="75"/>
      <c r="C409" s="75"/>
      <c r="D409" s="75"/>
      <c r="E409" s="75"/>
      <c r="F409" s="75"/>
      <c r="G409" s="75"/>
      <c r="H409" s="75"/>
      <c r="M409" s="75"/>
      <c r="N409" s="75"/>
    </row>
    <row r="410" spans="1:14" ht="12.75">
      <c r="A410" s="75"/>
      <c r="B410" s="75"/>
      <c r="C410" s="75"/>
      <c r="D410" s="75"/>
      <c r="E410" s="75"/>
      <c r="F410" s="75"/>
      <c r="G410" s="75"/>
      <c r="H410" s="75"/>
      <c r="M410" s="75"/>
      <c r="N410" s="75"/>
    </row>
    <row r="411" spans="1:14" ht="12.75">
      <c r="A411" s="75"/>
      <c r="B411" s="75"/>
      <c r="C411" s="75"/>
      <c r="D411" s="75"/>
      <c r="E411" s="75"/>
      <c r="F411" s="75"/>
      <c r="G411" s="75"/>
      <c r="H411" s="75"/>
      <c r="M411" s="75"/>
      <c r="N411" s="75"/>
    </row>
    <row r="412" spans="1:14" ht="12.75">
      <c r="A412" s="75"/>
      <c r="B412" s="75"/>
      <c r="C412" s="75"/>
      <c r="D412" s="75"/>
      <c r="E412" s="75"/>
      <c r="F412" s="75"/>
      <c r="G412" s="75"/>
      <c r="H412" s="75"/>
      <c r="M412" s="75"/>
      <c r="N412" s="75"/>
    </row>
    <row r="413" spans="1:14" ht="12.75">
      <c r="A413" s="75"/>
      <c r="B413" s="75"/>
      <c r="C413" s="75"/>
      <c r="D413" s="75"/>
      <c r="E413" s="75"/>
      <c r="F413" s="75"/>
      <c r="G413" s="75"/>
      <c r="H413" s="75"/>
      <c r="M413" s="75"/>
      <c r="N413" s="75"/>
    </row>
    <row r="414" spans="1:14" ht="12.75">
      <c r="A414" s="75"/>
      <c r="B414" s="75"/>
      <c r="C414" s="75"/>
      <c r="D414" s="75"/>
      <c r="E414" s="75"/>
      <c r="F414" s="75"/>
      <c r="G414" s="75"/>
      <c r="H414" s="75"/>
      <c r="M414" s="75"/>
      <c r="N414" s="75"/>
    </row>
    <row r="415" spans="1:14" ht="12.75">
      <c r="A415" s="75"/>
      <c r="B415" s="75"/>
      <c r="C415" s="75"/>
      <c r="D415" s="75"/>
      <c r="E415" s="75"/>
      <c r="F415" s="75"/>
      <c r="G415" s="75"/>
      <c r="H415" s="75"/>
      <c r="M415" s="75"/>
      <c r="N415" s="75"/>
    </row>
    <row r="416" spans="1:14" ht="12.75">
      <c r="A416" s="75"/>
      <c r="B416" s="75"/>
      <c r="C416" s="75"/>
      <c r="D416" s="75"/>
      <c r="E416" s="75"/>
      <c r="F416" s="75"/>
      <c r="G416" s="75"/>
      <c r="H416" s="75"/>
      <c r="M416" s="75"/>
      <c r="N416" s="75"/>
    </row>
    <row r="417" spans="1:14" ht="12.75">
      <c r="A417" s="75"/>
      <c r="B417" s="75"/>
      <c r="C417" s="75"/>
      <c r="D417" s="75"/>
      <c r="E417" s="75"/>
      <c r="F417" s="75"/>
      <c r="G417" s="75"/>
      <c r="H417" s="75"/>
      <c r="M417" s="75"/>
      <c r="N417" s="75"/>
    </row>
    <row r="418" spans="1:14" ht="12.75">
      <c r="A418" s="75"/>
      <c r="B418" s="75"/>
      <c r="C418" s="75"/>
      <c r="D418" s="75"/>
      <c r="E418" s="75"/>
      <c r="F418" s="75"/>
      <c r="G418" s="75"/>
      <c r="H418" s="75"/>
      <c r="M418" s="75"/>
      <c r="N418" s="75"/>
    </row>
    <row r="419" spans="1:14" ht="12.75">
      <c r="A419" s="75"/>
      <c r="B419" s="75"/>
      <c r="C419" s="75"/>
      <c r="D419" s="75"/>
      <c r="E419" s="75"/>
      <c r="F419" s="75"/>
      <c r="G419" s="75"/>
      <c r="H419" s="75"/>
      <c r="M419" s="75"/>
      <c r="N419" s="75"/>
    </row>
    <row r="420" spans="1:14" ht="12.75">
      <c r="A420" s="75"/>
      <c r="B420" s="75"/>
      <c r="C420" s="75"/>
      <c r="D420" s="75"/>
      <c r="E420" s="75"/>
      <c r="F420" s="75"/>
      <c r="G420" s="75"/>
      <c r="H420" s="75"/>
      <c r="M420" s="75"/>
      <c r="N420" s="75"/>
    </row>
    <row r="421" spans="1:14" ht="12.75">
      <c r="A421" s="75"/>
      <c r="B421" s="75"/>
      <c r="C421" s="75"/>
      <c r="D421" s="75"/>
      <c r="E421" s="75"/>
      <c r="F421" s="75"/>
      <c r="G421" s="75"/>
      <c r="H421" s="75"/>
      <c r="M421" s="75"/>
      <c r="N421" s="75"/>
    </row>
    <row r="422" spans="1:14" ht="12.75">
      <c r="A422" s="75"/>
      <c r="B422" s="75"/>
      <c r="C422" s="75"/>
      <c r="D422" s="75"/>
      <c r="E422" s="75"/>
      <c r="F422" s="75"/>
      <c r="G422" s="75"/>
      <c r="H422" s="75"/>
      <c r="M422" s="75"/>
      <c r="N422" s="75"/>
    </row>
    <row r="423" spans="1:14" ht="12.75">
      <c r="A423" s="75"/>
      <c r="B423" s="75"/>
      <c r="C423" s="75"/>
      <c r="D423" s="75"/>
      <c r="E423" s="75"/>
      <c r="F423" s="75"/>
      <c r="G423" s="75"/>
      <c r="H423" s="75"/>
      <c r="M423" s="75"/>
      <c r="N423" s="75"/>
    </row>
    <row r="424" spans="1:14" ht="12.75">
      <c r="A424" s="75"/>
      <c r="B424" s="75"/>
      <c r="C424" s="75"/>
      <c r="D424" s="75"/>
      <c r="E424" s="75"/>
      <c r="F424" s="75"/>
      <c r="G424" s="75"/>
      <c r="H424" s="75"/>
      <c r="M424" s="75"/>
      <c r="N424" s="75"/>
    </row>
    <row r="425" spans="1:14" ht="12.75">
      <c r="A425" s="75"/>
      <c r="B425" s="75"/>
      <c r="C425" s="75"/>
      <c r="D425" s="75"/>
      <c r="E425" s="75"/>
      <c r="F425" s="75"/>
      <c r="G425" s="75"/>
      <c r="H425" s="75"/>
      <c r="M425" s="75"/>
      <c r="N425" s="75"/>
    </row>
    <row r="426" spans="1:14" ht="12.75">
      <c r="A426" s="75"/>
      <c r="B426" s="75"/>
      <c r="C426" s="75"/>
      <c r="D426" s="75"/>
      <c r="E426" s="75"/>
      <c r="F426" s="75"/>
      <c r="G426" s="75"/>
      <c r="H426" s="75"/>
      <c r="M426" s="75"/>
      <c r="N426" s="75"/>
    </row>
    <row r="427" spans="1:14" ht="12.75">
      <c r="A427" s="75"/>
      <c r="B427" s="75"/>
      <c r="C427" s="75"/>
      <c r="D427" s="75"/>
      <c r="E427" s="75"/>
      <c r="F427" s="75"/>
      <c r="G427" s="75"/>
      <c r="H427" s="75"/>
      <c r="M427" s="75"/>
      <c r="N427" s="75"/>
    </row>
    <row r="428" spans="1:14" ht="12.75">
      <c r="A428" s="75"/>
      <c r="B428" s="75"/>
      <c r="C428" s="75"/>
      <c r="D428" s="75"/>
      <c r="E428" s="75"/>
      <c r="F428" s="75"/>
      <c r="G428" s="75"/>
      <c r="H428" s="75"/>
      <c r="M428" s="75"/>
      <c r="N428" s="75"/>
    </row>
    <row r="429" spans="1:14" ht="12.75">
      <c r="A429" s="75"/>
      <c r="B429" s="75"/>
      <c r="C429" s="75"/>
      <c r="D429" s="75"/>
      <c r="E429" s="75"/>
      <c r="F429" s="75"/>
      <c r="G429" s="75"/>
      <c r="H429" s="75"/>
      <c r="M429" s="75"/>
      <c r="N429" s="75"/>
    </row>
    <row r="430" spans="1:14" ht="12.75">
      <c r="A430" s="75"/>
      <c r="B430" s="75"/>
      <c r="C430" s="75"/>
      <c r="D430" s="75"/>
      <c r="E430" s="75"/>
      <c r="F430" s="75"/>
      <c r="G430" s="75"/>
      <c r="H430" s="75"/>
      <c r="M430" s="75"/>
      <c r="N430" s="75"/>
    </row>
    <row r="431" spans="1:14" ht="12.75">
      <c r="A431" s="75"/>
      <c r="B431" s="75"/>
      <c r="C431" s="75"/>
      <c r="D431" s="75"/>
      <c r="E431" s="75"/>
      <c r="F431" s="75"/>
      <c r="G431" s="75"/>
      <c r="H431" s="75"/>
      <c r="M431" s="75"/>
      <c r="N431" s="75"/>
    </row>
  </sheetData>
  <sheetProtection/>
  <mergeCells count="45">
    <mergeCell ref="A64:B64"/>
    <mergeCell ref="A56:B56"/>
    <mergeCell ref="A57:B57"/>
    <mergeCell ref="A58:B58"/>
    <mergeCell ref="A65:B65"/>
    <mergeCell ref="A66:B66"/>
    <mergeCell ref="A59:B59"/>
    <mergeCell ref="A60:B60"/>
    <mergeCell ref="A61:B61"/>
    <mergeCell ref="A62:B62"/>
    <mergeCell ref="A63:B63"/>
    <mergeCell ref="B45:D45"/>
    <mergeCell ref="B46:D46"/>
    <mergeCell ref="B47:D47"/>
    <mergeCell ref="B48:D48"/>
    <mergeCell ref="B50:D50"/>
    <mergeCell ref="A53:D53"/>
    <mergeCell ref="B38:D38"/>
    <mergeCell ref="B39:D39"/>
    <mergeCell ref="B40:D40"/>
    <mergeCell ref="B41:D41"/>
    <mergeCell ref="B42:D42"/>
    <mergeCell ref="B44:D44"/>
    <mergeCell ref="B30:D30"/>
    <mergeCell ref="B33:D33"/>
    <mergeCell ref="B34:D34"/>
    <mergeCell ref="B35:D35"/>
    <mergeCell ref="B36:D36"/>
    <mergeCell ref="B37:D37"/>
    <mergeCell ref="C10:D10"/>
    <mergeCell ref="A11:D11"/>
    <mergeCell ref="B12:D12"/>
    <mergeCell ref="B22:D22"/>
    <mergeCell ref="B23:D23"/>
    <mergeCell ref="B24:D24"/>
    <mergeCell ref="B17:D17"/>
    <mergeCell ref="C1:D1"/>
    <mergeCell ref="C2:D2"/>
    <mergeCell ref="C3:D3"/>
    <mergeCell ref="C4:D4"/>
    <mergeCell ref="C5:D5"/>
    <mergeCell ref="C6:D6"/>
    <mergeCell ref="C7:D7"/>
    <mergeCell ref="C8:D8"/>
    <mergeCell ref="C9:D9"/>
  </mergeCells>
  <printOptions/>
  <pageMargins left="0.787401575" right="0.787401575" top="0.984251969" bottom="0.984251969" header="0.492125985" footer="0.492125985"/>
  <pageSetup orientation="landscape" paperSize="9" r:id="rId1"/>
</worksheet>
</file>

<file path=xl/worksheets/sheet2.xml><?xml version="1.0" encoding="utf-8"?>
<worksheet xmlns="http://schemas.openxmlformats.org/spreadsheetml/2006/main" xmlns:r="http://schemas.openxmlformats.org/officeDocument/2006/relationships">
  <sheetPr codeName="Plan3"/>
  <dimension ref="A1:FV316"/>
  <sheetViews>
    <sheetView view="pageBreakPreview" zoomScale="75" zoomScaleNormal="75" zoomScaleSheetLayoutView="75" workbookViewId="0" topLeftCell="A116">
      <selection activeCell="J202" sqref="A1:J202"/>
    </sheetView>
  </sheetViews>
  <sheetFormatPr defaultColWidth="19.140625" defaultRowHeight="12.75"/>
  <cols>
    <col min="1" max="1" width="27.7109375" style="4" customWidth="1"/>
    <col min="2" max="2" width="18.7109375" style="360" customWidth="1"/>
    <col min="3" max="3" width="76.28125" style="4" customWidth="1"/>
    <col min="4" max="6" width="31.140625" style="4" bestFit="1" customWidth="1"/>
    <col min="7" max="7" width="20.7109375" style="4" customWidth="1"/>
    <col min="8" max="8" width="22.421875" style="4" customWidth="1"/>
    <col min="9" max="9" width="22.8515625" style="4" customWidth="1"/>
    <col min="10" max="10" width="23.00390625" style="4" customWidth="1"/>
    <col min="11" max="11" width="19.28125" style="98" bestFit="1" customWidth="1"/>
    <col min="12" max="178" width="19.140625" style="98" customWidth="1"/>
    <col min="179" max="16384" width="19.140625" style="4" customWidth="1"/>
  </cols>
  <sheetData>
    <row r="1" spans="1:178" s="2" customFormat="1" ht="17.25" customHeight="1">
      <c r="A1" s="638" t="str">
        <f>Parâmetros!A7</f>
        <v>Município de : Caçapava do Sul / RS.</v>
      </c>
      <c r="B1" s="638"/>
      <c r="C1" s="639"/>
      <c r="D1" s="639"/>
      <c r="E1" s="639"/>
      <c r="F1" s="639"/>
      <c r="G1" s="639"/>
      <c r="H1" s="639"/>
      <c r="I1" s="639"/>
      <c r="J1" s="639"/>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c r="DR1" s="90"/>
      <c r="DS1" s="90"/>
      <c r="DT1" s="90"/>
      <c r="DU1" s="90"/>
      <c r="DV1" s="90"/>
      <c r="DW1" s="90"/>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c r="FF1" s="90"/>
      <c r="FG1" s="90"/>
      <c r="FH1" s="90"/>
      <c r="FI1" s="90"/>
      <c r="FJ1" s="90"/>
      <c r="FK1" s="90"/>
      <c r="FL1" s="90"/>
      <c r="FM1" s="90"/>
      <c r="FN1" s="90"/>
      <c r="FO1" s="90"/>
      <c r="FP1" s="90"/>
      <c r="FQ1" s="90"/>
      <c r="FR1" s="90"/>
      <c r="FS1" s="90"/>
      <c r="FT1" s="90"/>
      <c r="FU1" s="90"/>
      <c r="FV1" s="90"/>
    </row>
    <row r="2" spans="1:178" s="2" customFormat="1" ht="30" customHeight="1">
      <c r="A2" s="640" t="str">
        <f>Parâmetros!A8</f>
        <v>LEI DE DIRETRIZES ORÇAMENTÁRIAS  PARA 2023</v>
      </c>
      <c r="B2" s="640"/>
      <c r="C2" s="639"/>
      <c r="D2" s="639"/>
      <c r="E2" s="639"/>
      <c r="F2" s="639"/>
      <c r="G2" s="639"/>
      <c r="H2" s="639"/>
      <c r="I2" s="639"/>
      <c r="J2" s="639"/>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row>
    <row r="3" spans="1:178" s="2" customFormat="1" ht="19.5" customHeight="1">
      <c r="A3" s="641" t="s">
        <v>539</v>
      </c>
      <c r="B3" s="641"/>
      <c r="C3" s="639"/>
      <c r="D3" s="639"/>
      <c r="E3" s="639"/>
      <c r="F3" s="639"/>
      <c r="G3" s="639"/>
      <c r="H3" s="639"/>
      <c r="I3" s="639"/>
      <c r="J3" s="639"/>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row>
    <row r="4" spans="1:178" s="2" customFormat="1" ht="15.75" hidden="1">
      <c r="A4" s="15"/>
      <c r="B4" s="361"/>
      <c r="C4" s="16"/>
      <c r="D4" s="16"/>
      <c r="E4" s="16"/>
      <c r="F4" s="16"/>
      <c r="G4" s="16"/>
      <c r="H4" s="16"/>
      <c r="I4" s="16"/>
      <c r="J4" s="16"/>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row>
    <row r="5" spans="1:178" s="2" customFormat="1" ht="15.75">
      <c r="A5" s="17"/>
      <c r="B5" s="362"/>
      <c r="C5" s="18"/>
      <c r="D5" s="385"/>
      <c r="E5" s="18"/>
      <c r="F5" s="18"/>
      <c r="G5" s="18"/>
      <c r="H5" s="18"/>
      <c r="I5" s="18"/>
      <c r="J5" s="19" t="s">
        <v>55</v>
      </c>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row>
    <row r="6" spans="1:178" s="1" customFormat="1" ht="15.75">
      <c r="A6" s="647" t="s">
        <v>640</v>
      </c>
      <c r="B6" s="649" t="s">
        <v>641</v>
      </c>
      <c r="C6" s="370" t="s">
        <v>0</v>
      </c>
      <c r="D6" s="125" t="s">
        <v>189</v>
      </c>
      <c r="E6" s="125" t="s">
        <v>189</v>
      </c>
      <c r="F6" s="125" t="s">
        <v>189</v>
      </c>
      <c r="G6" s="126" t="s">
        <v>121</v>
      </c>
      <c r="H6" s="126" t="s">
        <v>12</v>
      </c>
      <c r="I6" s="127" t="s">
        <v>12</v>
      </c>
      <c r="J6" s="128" t="s">
        <v>12</v>
      </c>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row>
    <row r="7" spans="1:178" s="1" customFormat="1" ht="27.75" customHeight="1">
      <c r="A7" s="648"/>
      <c r="B7" s="648"/>
      <c r="C7" s="369" t="s">
        <v>8</v>
      </c>
      <c r="D7" s="129">
        <f>Parâmetros!B10-1</f>
        <v>2019</v>
      </c>
      <c r="E7" s="130">
        <f aca="true" t="shared" si="0" ref="E7:J7">D7+1</f>
        <v>2020</v>
      </c>
      <c r="F7" s="130">
        <f t="shared" si="0"/>
        <v>2021</v>
      </c>
      <c r="G7" s="130">
        <f t="shared" si="0"/>
        <v>2022</v>
      </c>
      <c r="H7" s="130">
        <f t="shared" si="0"/>
        <v>2023</v>
      </c>
      <c r="I7" s="130">
        <f t="shared" si="0"/>
        <v>2024</v>
      </c>
      <c r="J7" s="130">
        <f t="shared" si="0"/>
        <v>2025</v>
      </c>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row>
    <row r="8" spans="1:178" s="81" customFormat="1" ht="17.25" customHeight="1">
      <c r="A8" s="131" t="s">
        <v>190</v>
      </c>
      <c r="B8" s="367">
        <v>10000000</v>
      </c>
      <c r="C8" s="132" t="s">
        <v>191</v>
      </c>
      <c r="D8" s="384">
        <f aca="true" t="shared" si="1" ref="D8:J8">D9+D15+D23+D34+D35+D36+D39+D67</f>
        <v>113366844.99000001</v>
      </c>
      <c r="E8" s="392">
        <f t="shared" si="1"/>
        <v>122737635.31</v>
      </c>
      <c r="F8" s="392">
        <f t="shared" si="1"/>
        <v>140634927.46000004</v>
      </c>
      <c r="G8" s="133">
        <f t="shared" si="1"/>
        <v>153054973.3</v>
      </c>
      <c r="H8" s="133">
        <f t="shared" si="1"/>
        <v>171611465.18404654</v>
      </c>
      <c r="I8" s="133">
        <f t="shared" si="1"/>
        <v>177631351.28852195</v>
      </c>
      <c r="J8" s="133">
        <f t="shared" si="1"/>
        <v>184319420.9041011</v>
      </c>
      <c r="K8" s="391"/>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row>
    <row r="9" spans="1:178" s="8" customFormat="1" ht="12.75">
      <c r="A9" s="134" t="s">
        <v>192</v>
      </c>
      <c r="B9" s="354">
        <v>11000000</v>
      </c>
      <c r="C9" s="135" t="s">
        <v>193</v>
      </c>
      <c r="D9" s="136">
        <f>D10+D11+D12+D13+D14</f>
        <v>13164313.44</v>
      </c>
      <c r="E9" s="136">
        <f aca="true" t="shared" si="2" ref="E9:J9">E10+E11+E12+E13+E14</f>
        <v>11024380.97</v>
      </c>
      <c r="F9" s="136">
        <f t="shared" si="2"/>
        <v>15524582.18</v>
      </c>
      <c r="G9" s="136">
        <f t="shared" si="2"/>
        <v>14478704.84</v>
      </c>
      <c r="H9" s="136">
        <f t="shared" si="2"/>
        <v>16231466.26824196</v>
      </c>
      <c r="I9" s="136">
        <f t="shared" si="2"/>
        <v>17243322.278577007</v>
      </c>
      <c r="J9" s="136">
        <f t="shared" si="2"/>
        <v>16908048.255558062</v>
      </c>
      <c r="K9" s="386">
        <f>15524582.18-F9</f>
        <v>0</v>
      </c>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row>
    <row r="10" spans="1:178" s="8" customFormat="1" ht="12.75">
      <c r="A10" s="137" t="s">
        <v>365</v>
      </c>
      <c r="B10" s="352">
        <v>11130100</v>
      </c>
      <c r="C10" s="138" t="s">
        <v>368</v>
      </c>
      <c r="D10" s="78">
        <f>2119347.42</f>
        <v>2119347.42</v>
      </c>
      <c r="E10" s="78">
        <f>2379094.91</f>
        <v>2379094.91</v>
      </c>
      <c r="F10" s="78">
        <f>2482989.91</f>
        <v>2482989.91</v>
      </c>
      <c r="G10" s="78">
        <f>1687180.37*2</f>
        <v>3374360.74</v>
      </c>
      <c r="H10" s="139">
        <f>(((E10*(1+Parâmetros!B11)*(1+Parâmetros!C11)*(1+Parâmetros!D11))+(F10*(1+Parâmetros!C11)*(1+Parâmetros!D11)+(G10*(1+Parâmetros!D11))))/3)*(1+Parâmetros!E11)*(1+Parâmetros!E15)</f>
        <v>3244290.109572021</v>
      </c>
      <c r="I10" s="139">
        <f>H10*(1+Parâmetros!F11)*(1+Parâmetros!F15)</f>
        <v>3446536.43731531</v>
      </c>
      <c r="J10" s="139">
        <f>I10*(1+Parâmetros!G11)*(1+Parâmetros!G15)</f>
        <v>3379523.00926753</v>
      </c>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row>
    <row r="11" spans="1:178" s="8" customFormat="1" ht="12.75">
      <c r="A11" s="137" t="s">
        <v>366</v>
      </c>
      <c r="B11" s="352">
        <v>11130100</v>
      </c>
      <c r="C11" s="138" t="s">
        <v>369</v>
      </c>
      <c r="D11" s="78">
        <f>168220.01</f>
        <v>168220.01</v>
      </c>
      <c r="E11" s="78">
        <f>192303.95</f>
        <v>192303.95</v>
      </c>
      <c r="F11" s="78">
        <f>189756.94</f>
        <v>189756.94</v>
      </c>
      <c r="G11" s="78">
        <f>95261.73*2</f>
        <v>190523.46</v>
      </c>
      <c r="H11" s="139">
        <f>(((E11*(1+Parâmetros!B11)*(1+Parâmetros!C11)*(1+Parâmetros!D11))+(F11*(1+Parâmetros!C11)*(1+Parâmetros!D11)+(G11*(1+Parâmetros!D11))))/3)*(1+Parâmetros!E11)*(1+Parâmetros!E15)</f>
        <v>227654.79633183262</v>
      </c>
      <c r="I11" s="139">
        <f>H11*(1+Parâmetros!F11)*(1+Parâmetros!F15)</f>
        <v>241846.60563255302</v>
      </c>
      <c r="J11" s="139">
        <f>I11*(1+Parâmetros!G11)*(1+Parâmetros!G15)</f>
        <v>237144.21225882118</v>
      </c>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row>
    <row r="12" spans="1:178" s="8" customFormat="1" ht="12.75">
      <c r="A12" s="137" t="s">
        <v>194</v>
      </c>
      <c r="B12" s="352">
        <v>11100000</v>
      </c>
      <c r="C12" s="138" t="s">
        <v>367</v>
      </c>
      <c r="D12" s="78">
        <f>12520908.04-SUM(D10:D11)</f>
        <v>10233340.61</v>
      </c>
      <c r="E12" s="78">
        <f>10475190.23-SUM(E10:E11)</f>
        <v>7903791.37</v>
      </c>
      <c r="F12" s="78">
        <f>14939218.43-SUM(F10:F11)</f>
        <v>12266471.58</v>
      </c>
      <c r="G12" s="78">
        <f>(8562894.03-SUM(G10:G11))*2</f>
        <v>9996019.659999998</v>
      </c>
      <c r="H12" s="139">
        <f>(((E12*(1+Parâmetros!B11)*(1+Parâmetros!C11)*(1+Parâmetros!D11))+(F12*(1+Parâmetros!C11)*(1+Parâmetros!D11)+(G12*(1+Parâmetros!D11))))/3)*(1+Parâmetros!E11)*(1+Parâmetros!E15)</f>
        <v>11954747.005934782</v>
      </c>
      <c r="I12" s="139">
        <f>H12*(1+Parâmetros!F11)*(1+Parâmetros!F15)</f>
        <v>12699995.919993622</v>
      </c>
      <c r="J12" s="139">
        <f>I12*(1+Parâmetros!G11)*(1+Parâmetros!G15)</f>
        <v>12453060.981608195</v>
      </c>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row>
    <row r="13" spans="1:178" s="8" customFormat="1" ht="12" customHeight="1">
      <c r="A13" s="137" t="s">
        <v>195</v>
      </c>
      <c r="B13" s="352">
        <v>11200000</v>
      </c>
      <c r="C13" s="138" t="s">
        <v>196</v>
      </c>
      <c r="D13" s="78">
        <f>642577.71</f>
        <v>642577.71</v>
      </c>
      <c r="E13" s="78">
        <f>549189.39</f>
        <v>549189.39</v>
      </c>
      <c r="F13" s="78">
        <f>580010.47</f>
        <v>580010.47</v>
      </c>
      <c r="G13" s="78">
        <f>(458900.41)*2</f>
        <v>917800.82</v>
      </c>
      <c r="H13" s="139">
        <f>(((E13*(1+Parâmetros!B11)*(1+Parâmetros!C11)*(1+Parâmetros!D11))+(F13*(1+Parâmetros!C11)*(1+Parâmetros!D11)+(G13*(1+Parâmetros!D11))))/3)*(1+Parâmetros!E11)*(1+Parâmetros!E15)</f>
        <v>802612.38285809</v>
      </c>
      <c r="I13" s="139">
        <f>H13*(1+Parâmetros!F11)*(1+Parâmetros!F15)</f>
        <v>852646.5664705267</v>
      </c>
      <c r="J13" s="139">
        <f>I13*(1+Parâmetros!G11)*(1+Parâmetros!G15)</f>
        <v>836067.9605652697</v>
      </c>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row>
    <row r="14" spans="1:178" s="8" customFormat="1" ht="12.75">
      <c r="A14" s="137" t="s">
        <v>197</v>
      </c>
      <c r="B14" s="352">
        <v>11310000</v>
      </c>
      <c r="C14" s="138" t="s">
        <v>198</v>
      </c>
      <c r="D14" s="78">
        <f>827.69</f>
        <v>827.69</v>
      </c>
      <c r="E14" s="78">
        <f>1.35</f>
        <v>1.35</v>
      </c>
      <c r="F14" s="78">
        <f>5353.28</f>
        <v>5353.28</v>
      </c>
      <c r="G14" s="78">
        <f>(0.08*2)</f>
        <v>0.16</v>
      </c>
      <c r="H14" s="139">
        <f>(((E14*(1+Parâmetros!B11)*(1+Parâmetros!C11)*(1+Parâmetros!D11))+(F14*(1+Parâmetros!C11)*(1+Parâmetros!D11)+(G14*(1+Parâmetros!D11))))/3)*(1+Parâmetros!E11)*(1+Parâmetros!E15)</f>
        <v>2161.973545235207</v>
      </c>
      <c r="I14" s="139">
        <f>H14*(1+Parâmetros!F11)*(1+Parâmetros!F15)</f>
        <v>2296.749164996179</v>
      </c>
      <c r="J14" s="139">
        <f>I14*(1+Parâmetros!G11)*(1+Parâmetros!G15)</f>
        <v>2252.09185824443</v>
      </c>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row>
    <row r="15" spans="1:178" ht="12.75">
      <c r="A15" s="134" t="s">
        <v>199</v>
      </c>
      <c r="B15" s="354">
        <v>12000000</v>
      </c>
      <c r="C15" s="135" t="s">
        <v>200</v>
      </c>
      <c r="D15" s="136">
        <f aca="true" t="shared" si="3" ref="D15:J15">D16+D21+D22</f>
        <v>5940302.56</v>
      </c>
      <c r="E15" s="136">
        <f t="shared" si="3"/>
        <v>6487159.12</v>
      </c>
      <c r="F15" s="136">
        <f t="shared" si="3"/>
        <v>7921649.350000001</v>
      </c>
      <c r="G15" s="136">
        <f t="shared" si="3"/>
        <v>8839934.620000001</v>
      </c>
      <c r="H15" s="136">
        <f t="shared" si="3"/>
        <v>9858019.999876952</v>
      </c>
      <c r="I15" s="136">
        <f t="shared" si="3"/>
        <v>10700449.93493267</v>
      </c>
      <c r="J15" s="136">
        <f t="shared" si="3"/>
        <v>11544642.964563977</v>
      </c>
      <c r="K15" s="386">
        <f>7921649.35-F15</f>
        <v>0</v>
      </c>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row>
    <row r="16" spans="1:178" ht="12.75">
      <c r="A16" s="134" t="s">
        <v>201</v>
      </c>
      <c r="B16" s="354">
        <v>12100000</v>
      </c>
      <c r="C16" s="135" t="s">
        <v>202</v>
      </c>
      <c r="D16" s="136">
        <f aca="true" t="shared" si="4" ref="D16:J16">D17+D18+D19+D20</f>
        <v>5053620.89</v>
      </c>
      <c r="E16" s="136">
        <f t="shared" si="4"/>
        <v>5557710.59</v>
      </c>
      <c r="F16" s="136">
        <f t="shared" si="4"/>
        <v>6853164.98</v>
      </c>
      <c r="G16" s="136">
        <f t="shared" si="4"/>
        <v>7492602.7</v>
      </c>
      <c r="H16" s="136">
        <f t="shared" si="4"/>
        <v>8499618.58814275</v>
      </c>
      <c r="I16" s="136">
        <f t="shared" si="4"/>
        <v>9270542.27288478</v>
      </c>
      <c r="J16" s="136">
        <f t="shared" si="4"/>
        <v>10042381.974816464</v>
      </c>
      <c r="K16" s="388">
        <f>6853164.98-F16</f>
        <v>0</v>
      </c>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row>
    <row r="17" spans="1:178" ht="12.75">
      <c r="A17" s="137" t="s">
        <v>602</v>
      </c>
      <c r="B17" s="352">
        <v>12150000</v>
      </c>
      <c r="C17" s="138" t="s">
        <v>359</v>
      </c>
      <c r="D17" s="78">
        <f>3595472.77+14785.9</f>
        <v>3610258.67</v>
      </c>
      <c r="E17" s="78">
        <f>4008985.07</f>
        <v>4008985.07</v>
      </c>
      <c r="F17" s="78">
        <f>5206384.08+24676.12</f>
        <v>5231060.2</v>
      </c>
      <c r="G17" s="78">
        <f>(2845923.45+12939.33)*2</f>
        <v>5717725.5600000005</v>
      </c>
      <c r="H17" s="139">
        <f>(((E17*(1+Parâmetros!B11)*(1+Parâmetros!C11)*(1+Parâmetros!D11))+(F17*(1+Parâmetros!C11)*(1+Parâmetros!D11)+(G17*(1+Parâmetros!D11))))/3)*(1+Parâmetros!E11)*(1+Parâmetros!E13)*(1+Parâmetros!E18)</f>
        <v>6499787.945483768</v>
      </c>
      <c r="I17" s="139">
        <f>H17*(1+Parâmetros!F11)*(1+Parâmetros!F13)*(1+Parâmetros!F18)</f>
        <v>7206717.049660712</v>
      </c>
      <c r="J17" s="139">
        <f>I17*(1+Parâmetros!G11)*(1+Parâmetros!G13)*(1+Parâmetros!G18)</f>
        <v>7916641.9948956715</v>
      </c>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row>
    <row r="18" spans="1:178" ht="12.75">
      <c r="A18" s="137" t="s">
        <v>203</v>
      </c>
      <c r="B18" s="352">
        <v>12160300</v>
      </c>
      <c r="C18" s="138" t="s">
        <v>204</v>
      </c>
      <c r="D18" s="78">
        <f>1443362.22</f>
        <v>1443362.22</v>
      </c>
      <c r="E18" s="78">
        <f>1548725.52</f>
        <v>1548725.52</v>
      </c>
      <c r="F18" s="78">
        <f>1622104.78</f>
        <v>1622104.78</v>
      </c>
      <c r="G18" s="78">
        <f>(887438.57)*2</f>
        <v>1774877.14</v>
      </c>
      <c r="H18" s="139">
        <f>(((E18*(1+Parâmetros!B11)*(1+Parâmetros!C11)*(1+Parâmetros!D11))+(F18*(1+Parâmetros!C11)*(1+Parâmetros!D11)+(G18*(1+Parâmetros!D11))))/3)*(1+Parâmetros!E11)</f>
        <v>1999830.642658982</v>
      </c>
      <c r="I18" s="139">
        <f>H18*(1+Parâmetros!F11)</f>
        <v>2063825.2232240695</v>
      </c>
      <c r="J18" s="139">
        <f>I18*(1+Parâmetros!G11)</f>
        <v>2125739.9799207915</v>
      </c>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row>
    <row r="19" spans="1:178" ht="12.75">
      <c r="A19" s="137" t="s">
        <v>205</v>
      </c>
      <c r="B19" s="352">
        <v>12190000</v>
      </c>
      <c r="C19" s="138" t="s">
        <v>206</v>
      </c>
      <c r="D19" s="78">
        <v>0</v>
      </c>
      <c r="E19" s="78">
        <v>0</v>
      </c>
      <c r="F19" s="78">
        <v>0</v>
      </c>
      <c r="G19" s="78">
        <v>0</v>
      </c>
      <c r="H19" s="139">
        <f>(((E19*(1+Parâmetros!B11)*(1+Parâmetros!C11)*(1+Parâmetros!D11))+(F19*(1+Parâmetros!C11)*(1+Parâmetros!D11)+(G19*(1+Parâmetros!D11))))/3)*(1+Parâmetros!E11)</f>
        <v>0</v>
      </c>
      <c r="I19" s="139">
        <f>H19*(1+Parâmetros!F11)</f>
        <v>0</v>
      </c>
      <c r="J19" s="139">
        <f>I19*(1+Parâmetros!G11)</f>
        <v>0</v>
      </c>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row>
    <row r="20" spans="1:178" ht="12.75">
      <c r="A20" s="137" t="s">
        <v>207</v>
      </c>
      <c r="B20" s="352">
        <v>12199900</v>
      </c>
      <c r="C20" s="138" t="s">
        <v>603</v>
      </c>
      <c r="D20" s="78">
        <v>0</v>
      </c>
      <c r="E20" s="78">
        <v>0</v>
      </c>
      <c r="F20" s="78">
        <v>0</v>
      </c>
      <c r="G20" s="78">
        <v>0</v>
      </c>
      <c r="H20" s="139">
        <f>(((E20*(1+Parâmetros!B11)*(1+Parâmetros!C11)*(1+Parâmetros!D11))+(F20*(1+Parâmetros!C11)*(1+Parâmetros!D11)+(G20*(1+Parâmetros!D11))))/3)*(1+Parâmetros!E11)</f>
        <v>0</v>
      </c>
      <c r="I20" s="139">
        <f>H20*(1+Parâmetros!F11)</f>
        <v>0</v>
      </c>
      <c r="J20" s="139">
        <f>I20*(1+Parâmetros!G11)</f>
        <v>0</v>
      </c>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row>
    <row r="21" spans="1:178" s="8" customFormat="1" ht="12.75">
      <c r="A21" s="137" t="s">
        <v>208</v>
      </c>
      <c r="B21" s="352">
        <v>12210000</v>
      </c>
      <c r="C21" s="138" t="s">
        <v>209</v>
      </c>
      <c r="D21" s="78">
        <v>0</v>
      </c>
      <c r="E21" s="78">
        <v>0</v>
      </c>
      <c r="F21" s="78">
        <v>0</v>
      </c>
      <c r="G21" s="78">
        <v>0</v>
      </c>
      <c r="H21" s="139">
        <f>(((E21*(1+Parâmetros!B11)*(1+Parâmetros!C11)*(1+Parâmetros!D11))+(F21*(1+Parâmetros!C11)*(1+Parâmetros!D11)+(G21*(1+Parâmetros!D11))))/3)*(1+Parâmetros!E11)</f>
        <v>0</v>
      </c>
      <c r="I21" s="139">
        <f>H21*(1+Parâmetros!F11)</f>
        <v>0</v>
      </c>
      <c r="J21" s="139">
        <f>I21*(1+Parâmetros!G11)</f>
        <v>0</v>
      </c>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row>
    <row r="22" spans="1:178" s="8" customFormat="1" ht="12.75">
      <c r="A22" s="137" t="s">
        <v>210</v>
      </c>
      <c r="B22" s="352">
        <v>12415000</v>
      </c>
      <c r="C22" s="138" t="s">
        <v>211</v>
      </c>
      <c r="D22" s="78">
        <f>886681.67</f>
        <v>886681.67</v>
      </c>
      <c r="E22" s="78">
        <f>929448.53</f>
        <v>929448.53</v>
      </c>
      <c r="F22" s="78">
        <f>1068484.37</f>
        <v>1068484.37</v>
      </c>
      <c r="G22" s="78">
        <f>673665.96*2</f>
        <v>1347331.92</v>
      </c>
      <c r="H22" s="139">
        <f>(((E22*(1+Parâmetros!B11)*(1+Parâmetros!C11)*(1+Parâmetros!D11))+(F22*(1+Parâmetros!C11)*(1+Parâmetros!D11)+(G22*(1+Parâmetros!D11))))/3)*(1+Parâmetros!E11)*(1+Parâmetros!E12)</f>
        <v>1358401.4117342008</v>
      </c>
      <c r="I22" s="139">
        <f>H22*(1+Parâmetros!F11)*(1+Parâmetros!F12)</f>
        <v>1429907.662047889</v>
      </c>
      <c r="J22" s="139">
        <f>I22*(1+Parâmetros!G11)*(1+Parâmetros!G12)</f>
        <v>1502260.9897475122</v>
      </c>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row>
    <row r="23" spans="1:178" s="8" customFormat="1" ht="12.75">
      <c r="A23" s="134" t="s">
        <v>212</v>
      </c>
      <c r="B23" s="354">
        <v>13000000</v>
      </c>
      <c r="C23" s="135" t="s">
        <v>213</v>
      </c>
      <c r="D23" s="136">
        <f>D24+D25+D31+D32+D33</f>
        <v>4897615.86</v>
      </c>
      <c r="E23" s="136">
        <f aca="true" t="shared" si="5" ref="E23:J23">E24+E25+E31+E32+E33</f>
        <v>2539821.77</v>
      </c>
      <c r="F23" s="136">
        <f t="shared" si="5"/>
        <v>1937842.3399999999</v>
      </c>
      <c r="G23" s="136">
        <f t="shared" si="5"/>
        <v>5479259.640000001</v>
      </c>
      <c r="H23" s="136">
        <f t="shared" si="5"/>
        <v>3982779.4034887427</v>
      </c>
      <c r="I23" s="136">
        <f t="shared" si="5"/>
        <v>4191906.893141607</v>
      </c>
      <c r="J23" s="136">
        <f t="shared" si="5"/>
        <v>4403475.583243385</v>
      </c>
      <c r="K23" s="386">
        <f>(2833050.12-895207.78)-F23</f>
        <v>0</v>
      </c>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row>
    <row r="24" spans="1:178" s="8" customFormat="1" ht="12.75">
      <c r="A24" s="137" t="s">
        <v>214</v>
      </c>
      <c r="B24" s="352">
        <v>13110000</v>
      </c>
      <c r="C24" s="138" t="s">
        <v>215</v>
      </c>
      <c r="D24" s="78">
        <v>25172.15</v>
      </c>
      <c r="E24" s="78">
        <f>11280.39</f>
        <v>11280.39</v>
      </c>
      <c r="F24" s="78">
        <f>22260.18</f>
        <v>22260.18</v>
      </c>
      <c r="G24" s="78">
        <f>15298.97*2</f>
        <v>30597.94</v>
      </c>
      <c r="H24" s="139">
        <f>(((E24*(1+Parâmetros!B11)*(1+Parâmetros!C11)*(1+Parâmetros!D11))+(F24*(1+Parâmetros!C11)*(1+Parâmetros!D11)+(G24*(1+Parâmetros!D11))))/3)*(1+Parâmetros!E11)</f>
        <v>25485.375328687936</v>
      </c>
      <c r="I24" s="139">
        <f>H24*(1+Parâmetros!F11)</f>
        <v>26300.90733920595</v>
      </c>
      <c r="J24" s="139">
        <f>I24*(1+Parâmetros!G11)</f>
        <v>27089.93455938213</v>
      </c>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row>
    <row r="25" spans="1:178" s="80" customFormat="1" ht="15.75">
      <c r="A25" s="134" t="s">
        <v>216</v>
      </c>
      <c r="B25" s="354">
        <v>13200000</v>
      </c>
      <c r="C25" s="135" t="s">
        <v>217</v>
      </c>
      <c r="D25" s="136">
        <f aca="true" t="shared" si="6" ref="D25:J25">D26+D27+D28+D29+D30</f>
        <v>4872443.71</v>
      </c>
      <c r="E25" s="136">
        <f t="shared" si="6"/>
        <v>2528541.38</v>
      </c>
      <c r="F25" s="136">
        <f t="shared" si="6"/>
        <v>1915582.16</v>
      </c>
      <c r="G25" s="136">
        <f t="shared" si="6"/>
        <v>5448661.7</v>
      </c>
      <c r="H25" s="136">
        <f t="shared" si="6"/>
        <v>3957294.0281600547</v>
      </c>
      <c r="I25" s="136">
        <f t="shared" si="6"/>
        <v>4165605.985802401</v>
      </c>
      <c r="J25" s="136">
        <f t="shared" si="6"/>
        <v>4376385.648684002</v>
      </c>
      <c r="K25" s="394">
        <f>(2810789.94-F25)-895207.78</f>
        <v>0</v>
      </c>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c r="DE25" s="94"/>
      <c r="DF25" s="94"/>
      <c r="DG25" s="94"/>
      <c r="DH25" s="94"/>
      <c r="DI25" s="94"/>
      <c r="DJ25" s="94"/>
      <c r="DK25" s="94"/>
      <c r="DL25" s="94"/>
      <c r="DM25" s="94"/>
      <c r="DN25" s="94"/>
      <c r="DO25" s="94"/>
      <c r="DP25" s="94"/>
      <c r="DQ25" s="94"/>
      <c r="DR25" s="94"/>
      <c r="DS25" s="94"/>
      <c r="DT25" s="94"/>
      <c r="DU25" s="94"/>
      <c r="DV25" s="94"/>
      <c r="DW25" s="94"/>
      <c r="DX25" s="94"/>
      <c r="DY25" s="94"/>
      <c r="DZ25" s="94"/>
      <c r="EA25" s="94"/>
      <c r="EB25" s="94"/>
      <c r="EC25" s="94"/>
      <c r="ED25" s="94"/>
      <c r="EE25" s="94"/>
      <c r="EF25" s="94"/>
      <c r="EG25" s="94"/>
      <c r="EH25" s="94"/>
      <c r="EI25" s="94"/>
      <c r="EJ25" s="94"/>
      <c r="EK25" s="94"/>
      <c r="EL25" s="94"/>
      <c r="EM25" s="94"/>
      <c r="EN25" s="94"/>
      <c r="EO25" s="94"/>
      <c r="EP25" s="94"/>
      <c r="EQ25" s="94"/>
      <c r="ER25" s="94"/>
      <c r="ES25" s="94"/>
      <c r="ET25" s="94"/>
      <c r="EU25" s="94"/>
      <c r="EV25" s="94"/>
      <c r="EW25" s="94"/>
      <c r="EX25" s="94"/>
      <c r="EY25" s="94"/>
      <c r="EZ25" s="94"/>
      <c r="FA25" s="94"/>
      <c r="FB25" s="94"/>
      <c r="FC25" s="94"/>
      <c r="FD25" s="94"/>
      <c r="FE25" s="94"/>
      <c r="FF25" s="94"/>
      <c r="FG25" s="94"/>
      <c r="FH25" s="94"/>
      <c r="FI25" s="94"/>
      <c r="FJ25" s="94"/>
      <c r="FK25" s="94"/>
      <c r="FL25" s="94"/>
      <c r="FM25" s="94"/>
      <c r="FN25" s="94"/>
      <c r="FO25" s="94"/>
      <c r="FP25" s="94"/>
      <c r="FQ25" s="94"/>
      <c r="FR25" s="94"/>
      <c r="FS25" s="94"/>
      <c r="FT25" s="94"/>
      <c r="FU25" s="94"/>
      <c r="FV25" s="94"/>
    </row>
    <row r="26" spans="1:178" ht="12.75">
      <c r="A26" s="137" t="s">
        <v>218</v>
      </c>
      <c r="B26" s="352">
        <v>13210100</v>
      </c>
      <c r="C26" s="138" t="s">
        <v>219</v>
      </c>
      <c r="D26" s="78">
        <f>206759.83</f>
        <v>206759.83</v>
      </c>
      <c r="E26" s="78">
        <f>85749.77</f>
        <v>85749.77</v>
      </c>
      <c r="F26" s="78">
        <f>261606.38</f>
        <v>261606.38</v>
      </c>
      <c r="G26" s="78">
        <f>429940.2*2</f>
        <v>859880.4</v>
      </c>
      <c r="H26" s="139">
        <f>(((E26*(1+Parâmetros!B11)*(1+Parâmetros!C11)*(1+Parâmetros!D11))+(F26*(1+Parâmetros!C11)*(1+Parâmetros!D11)+(G26*(1+Parâmetros!D11))))/3)*(1+Parâmetros!E11)*(1+Parâmetros!E12)</f>
        <v>471308.9026076752</v>
      </c>
      <c r="I26" s="139">
        <f>H26*(1+Parâmetros!F11)*(1+Parâmetros!F12)</f>
        <v>496118.6032409432</v>
      </c>
      <c r="J26" s="139">
        <f>I26*(1+Parâmetros!G11)*(1+Parâmetros!G12)</f>
        <v>521222.20456493495</v>
      </c>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row>
    <row r="27" spans="1:178" ht="12.75">
      <c r="A27" s="137" t="s">
        <v>220</v>
      </c>
      <c r="B27" s="352">
        <v>13210100</v>
      </c>
      <c r="C27" s="138" t="s">
        <v>221</v>
      </c>
      <c r="D27" s="78">
        <v>58508.77</v>
      </c>
      <c r="E27" s="78">
        <f>13084.84</f>
        <v>13084.84</v>
      </c>
      <c r="F27" s="78">
        <f>167749.25+4094.96+26059.47</f>
        <v>197903.68</v>
      </c>
      <c r="G27" s="78">
        <f>(460259.78+40370.27)*2</f>
        <v>1001260.1000000001</v>
      </c>
      <c r="H27" s="139">
        <f>(((E27*(1+Parâmetros!B11)*(1+Parâmetros!C11)*(1+Parâmetros!D11))+(F27*(1+Parâmetros!C11)*(1+Parâmetros!D11)+(G27*(1+Parâmetros!D11))))/3)*(1+Parâmetros!E11)*(1+Parâmetros!E12)</f>
        <v>466649.91500843316</v>
      </c>
      <c r="I27" s="139">
        <f>H27*(1+Parâmetros!F11)*(1+Parâmetros!F12)</f>
        <v>491214.3665344771</v>
      </c>
      <c r="J27" s="139">
        <f>I27*(1+Parâmetros!G11)*(1+Parâmetros!G12)</f>
        <v>516069.8134811217</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row>
    <row r="28" spans="1:178" ht="25.5">
      <c r="A28" s="137" t="s">
        <v>222</v>
      </c>
      <c r="B28" s="352">
        <v>13210400</v>
      </c>
      <c r="C28" s="138" t="s">
        <v>554</v>
      </c>
      <c r="D28" s="78">
        <f>5046698.25-439523.14</f>
        <v>4607175.11</v>
      </c>
      <c r="E28" s="78">
        <f>3181507.6-751800.83</f>
        <v>2429706.77</v>
      </c>
      <c r="F28" s="78">
        <f>2351279.88-895207.78</f>
        <v>1456072.0999999999</v>
      </c>
      <c r="G28" s="78">
        <f>(2385815.2-592054.6)*2</f>
        <v>3587521.2</v>
      </c>
      <c r="H28" s="139">
        <f>(((E28*(1+Parâmetros!B11)*(1+Parâmetros!C11)*(1+Parâmetros!D11))+(F28*(1+Parâmetros!C11)*(1+Parâmetros!D11)+(G28*(1+Parâmetros!D11))))/3)*(1+Parâmetros!E11)*(1+Parâmetros!E12)</f>
        <v>3019335.2105439464</v>
      </c>
      <c r="I28" s="139">
        <f>H28*(1+Parâmetros!F11)*(1+Parâmetros!F12)</f>
        <v>3178273.0160269802</v>
      </c>
      <c r="J28" s="139">
        <f>I28*(1+Parâmetros!G11)*(1+Parâmetros!G12)</f>
        <v>3339093.6306379456</v>
      </c>
      <c r="K28" s="387"/>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row>
    <row r="29" spans="1:178" ht="12.75">
      <c r="A29" s="137" t="s">
        <v>223</v>
      </c>
      <c r="B29" s="352">
        <v>13210500</v>
      </c>
      <c r="C29" s="138" t="s">
        <v>224</v>
      </c>
      <c r="D29" s="78">
        <v>0</v>
      </c>
      <c r="E29" s="78">
        <v>0</v>
      </c>
      <c r="F29" s="78">
        <v>0</v>
      </c>
      <c r="G29" s="78">
        <v>0</v>
      </c>
      <c r="H29" s="139">
        <f>(((E29*(1+Parâmetros!B11)*(1+Parâmetros!C11)*(1+Parâmetros!D11))+(F29*(1+Parâmetros!C11)*(1+Parâmetros!D11)+(G29*(1+Parâmetros!D11))))/3)*(1+Parâmetros!E11)*(1+Parâmetros!E12)</f>
        <v>0</v>
      </c>
      <c r="I29" s="139">
        <f>H29*(1+Parâmetros!F11)*(1+Parâmetros!F12)</f>
        <v>0</v>
      </c>
      <c r="J29" s="139">
        <f>I29*(1+Parâmetros!G11)*(1+Parâmetros!G12)</f>
        <v>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row>
    <row r="30" spans="1:178" ht="12.75">
      <c r="A30" s="137" t="s">
        <v>225</v>
      </c>
      <c r="B30" s="352">
        <v>13299900</v>
      </c>
      <c r="C30" s="138" t="s">
        <v>226</v>
      </c>
      <c r="D30" s="78">
        <v>0</v>
      </c>
      <c r="E30" s="78">
        <v>0</v>
      </c>
      <c r="F30" s="78">
        <v>0</v>
      </c>
      <c r="G30" s="78">
        <v>0</v>
      </c>
      <c r="H30" s="139">
        <f>(((E30*(1+Parâmetros!B11)*(1+Parâmetros!C11)*(1+Parâmetros!D11))+(F30*(1+Parâmetros!C11)*(1+Parâmetros!D11)+(G30*(1+Parâmetros!D11))))/3)*(1+Parâmetros!E11)*(1+Parâmetros!E12)</f>
        <v>0</v>
      </c>
      <c r="I30" s="139">
        <f>H30*(1+Parâmetros!F11)*(1+Parâmetros!F12)</f>
        <v>0</v>
      </c>
      <c r="J30" s="139">
        <f>I30*(1+Parâmetros!G11)*(1+Parâmetros!G12)</f>
        <v>0</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row>
    <row r="31" spans="1:178" ht="25.5">
      <c r="A31" s="137" t="s">
        <v>227</v>
      </c>
      <c r="B31" s="352">
        <v>13300000</v>
      </c>
      <c r="C31" s="138" t="s">
        <v>228</v>
      </c>
      <c r="D31" s="78">
        <v>0</v>
      </c>
      <c r="E31" s="78">
        <v>0</v>
      </c>
      <c r="F31" s="78">
        <v>0</v>
      </c>
      <c r="G31" s="78">
        <v>0</v>
      </c>
      <c r="H31" s="139">
        <f>(((E31*(1+Parâmetros!B11)*(1+Parâmetros!C11)*(1+Parâmetros!D11))+(F31*(1+Parâmetros!C11)*(1+Parâmetros!D11)+(G31*(1+Parâmetros!D11))))/3)*(1+Parâmetros!E11)*(1+Parâmetros!E12)</f>
        <v>0</v>
      </c>
      <c r="I31" s="139">
        <f>H31*(1+Parâmetros!F11)*(1+Parâmetros!F12)</f>
        <v>0</v>
      </c>
      <c r="J31" s="139">
        <f>I31*(1+Parâmetros!G11)*(1+Parâmetros!G12)</f>
        <v>0</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row>
    <row r="32" spans="1:178" ht="12.75">
      <c r="A32" s="137" t="s">
        <v>229</v>
      </c>
      <c r="B32" s="352">
        <v>13610000</v>
      </c>
      <c r="C32" s="138" t="s">
        <v>230</v>
      </c>
      <c r="D32" s="78">
        <v>0</v>
      </c>
      <c r="E32" s="78">
        <v>0</v>
      </c>
      <c r="F32" s="78">
        <v>0</v>
      </c>
      <c r="G32" s="78">
        <v>0</v>
      </c>
      <c r="H32" s="139">
        <f>(((E32*(1+Parâmetros!B11)*(1+Parâmetros!C11)*(1+Parâmetros!D11))+(F32*(1+Parâmetros!C11)*(1+Parâmetros!D11)+(G32*(1+Parâmetros!D11))))/3)*(1+Parâmetros!E11)*(1+Parâmetros!E12)</f>
        <v>0</v>
      </c>
      <c r="I32" s="139">
        <f>H32*(1+Parâmetros!F11)*(1+Parâmetros!F12)</f>
        <v>0</v>
      </c>
      <c r="J32" s="139">
        <f>I32*(1+Parâmetros!G11)*(1+Parâmetros!G12)</f>
        <v>0</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row>
    <row r="33" spans="1:178" ht="12.75">
      <c r="A33" s="137" t="s">
        <v>231</v>
      </c>
      <c r="B33" s="352">
        <v>13900000</v>
      </c>
      <c r="C33" s="138" t="s">
        <v>232</v>
      </c>
      <c r="D33" s="78">
        <v>0</v>
      </c>
      <c r="E33" s="78">
        <v>0</v>
      </c>
      <c r="F33" s="78">
        <v>0</v>
      </c>
      <c r="G33" s="78">
        <v>0</v>
      </c>
      <c r="H33" s="139">
        <f>(((E33*(1+Parâmetros!B11)*(1+Parâmetros!C11)*(1+Parâmetros!D11))+(F33*(1+Parâmetros!C11)*(1+Parâmetros!D11)+(G33*(1+Parâmetros!D11))))/3)*(1+Parâmetros!E11)*(1+Parâmetros!E12)</f>
        <v>0</v>
      </c>
      <c r="I33" s="139">
        <f>H33*(1+Parâmetros!F11)*(1+Parâmetros!F12)</f>
        <v>0</v>
      </c>
      <c r="J33" s="139">
        <f>I33*(1+Parâmetros!G11)*(1+Parâmetros!G12)</f>
        <v>0</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row>
    <row r="34" spans="1:178" ht="12.75">
      <c r="A34" s="137" t="s">
        <v>233</v>
      </c>
      <c r="B34" s="352">
        <v>14110100</v>
      </c>
      <c r="C34" s="138" t="s">
        <v>234</v>
      </c>
      <c r="D34" s="78">
        <f>96226.28</f>
        <v>96226.28</v>
      </c>
      <c r="E34" s="78">
        <f>72584.83</f>
        <v>72584.83</v>
      </c>
      <c r="F34" s="78">
        <f>91504.85</f>
        <v>91504.85</v>
      </c>
      <c r="G34" s="78">
        <f>(38711.62)*2</f>
        <v>77423.24</v>
      </c>
      <c r="H34" s="139">
        <f>(((E34*(1+Parâmetros!B11)*(1+Parâmetros!C11)*(1+Parâmetros!D11))+(F34*(1+Parâmetros!C11)*(1+Parâmetros!D11)+(G34*(1+Parâmetros!D11))))/3)*(1+Parâmetros!E11)*(1+Parâmetros!E12)</f>
        <v>98928.54493045446</v>
      </c>
      <c r="I34" s="139">
        <f>H34*(1+Parâmetros!F11)*(1+Parâmetros!F12)</f>
        <v>104136.14353559358</v>
      </c>
      <c r="J34" s="139">
        <f>I34*(1+Parâmetros!G11)*(1+Parâmetros!G12)</f>
        <v>109405.43239849462</v>
      </c>
      <c r="K34" s="388"/>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row>
    <row r="35" spans="1:178" ht="12.75">
      <c r="A35" s="137" t="s">
        <v>263</v>
      </c>
      <c r="B35" s="352">
        <v>15110100</v>
      </c>
      <c r="C35" s="138" t="s">
        <v>264</v>
      </c>
      <c r="D35" s="78"/>
      <c r="E35" s="78"/>
      <c r="F35" s="78"/>
      <c r="G35" s="78"/>
      <c r="H35" s="139">
        <f>(((E35*(1+Parâmetros!B11)*(1+Parâmetros!C11)*(1+Parâmetros!D11))+(F35*(1+Parâmetros!C11)*(1+Parâmetros!D11)+(G35*(1+Parâmetros!D11))))/3)*(1+Parâmetros!E11)*(1+Parâmetros!E12)</f>
        <v>0</v>
      </c>
      <c r="I35" s="139">
        <f>H35*(1+Parâmetros!F11)*(1+Parâmetros!F12)</f>
        <v>0</v>
      </c>
      <c r="J35" s="139">
        <f>I35*(1+Parâmetros!G11)*(1+Parâmetros!G12)</f>
        <v>0</v>
      </c>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row>
    <row r="36" spans="1:11" s="375" customFormat="1" ht="12.75">
      <c r="A36" s="371" t="s">
        <v>432</v>
      </c>
      <c r="B36" s="372">
        <v>16000000</v>
      </c>
      <c r="C36" s="373" t="s">
        <v>235</v>
      </c>
      <c r="D36" s="374">
        <f aca="true" t="shared" si="7" ref="D36:J36">D37+D38</f>
        <v>464465.66</v>
      </c>
      <c r="E36" s="374">
        <f t="shared" si="7"/>
        <v>712049.35</v>
      </c>
      <c r="F36" s="374">
        <f t="shared" si="7"/>
        <v>430634.17</v>
      </c>
      <c r="G36" s="374">
        <f t="shared" si="7"/>
        <v>624121.96</v>
      </c>
      <c r="H36" s="374">
        <f t="shared" si="7"/>
        <v>724928.7933157316</v>
      </c>
      <c r="I36" s="374">
        <f t="shared" si="7"/>
        <v>763089.0449958717</v>
      </c>
      <c r="J36" s="374">
        <f t="shared" si="7"/>
        <v>801701.350672663</v>
      </c>
      <c r="K36" s="389">
        <f>430634.17-F36</f>
        <v>0</v>
      </c>
    </row>
    <row r="37" spans="1:178" ht="25.5">
      <c r="A37" s="196" t="s">
        <v>434</v>
      </c>
      <c r="B37" s="355" t="s">
        <v>634</v>
      </c>
      <c r="C37" s="138" t="s">
        <v>435</v>
      </c>
      <c r="D37" s="78"/>
      <c r="E37" s="78"/>
      <c r="F37" s="78"/>
      <c r="G37" s="78"/>
      <c r="H37" s="136">
        <f>(((E37*(1+Parâmetros!B11)*(1+Parâmetros!C11)*(1+Parâmetros!D11))+(F37*(1+Parâmetros!C11)*(1+Parâmetros!D11)+(G37*(1+Parâmetros!D11))))/3)*(1+Parâmetros!E11)</f>
        <v>0</v>
      </c>
      <c r="I37" s="139">
        <f>H37*(1+Parâmetros!F11)</f>
        <v>0</v>
      </c>
      <c r="J37" s="139">
        <f>I37*(1+Parâmetros!G11)</f>
        <v>0</v>
      </c>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row>
    <row r="38" spans="1:178" ht="12.75">
      <c r="A38" s="137" t="s">
        <v>432</v>
      </c>
      <c r="B38" s="352">
        <v>16999900</v>
      </c>
      <c r="C38" s="138" t="s">
        <v>433</v>
      </c>
      <c r="D38" s="78">
        <f>464465.66</f>
        <v>464465.66</v>
      </c>
      <c r="E38" s="78">
        <f>712049.35</f>
        <v>712049.35</v>
      </c>
      <c r="F38" s="78">
        <f>430634.17</f>
        <v>430634.17</v>
      </c>
      <c r="G38" s="78">
        <f>(312060.98*2)</f>
        <v>624121.96</v>
      </c>
      <c r="H38" s="136">
        <f>(((E38*(1+Parâmetros!B11)*(1+Parâmetros!C11)*(1+Parâmetros!D11))+(F38*(1+Parâmetros!C11)*(1+Parâmetros!D11)+(G38*(1+Parâmetros!D11))))/3)*(1+Parâmetros!E11)*(1+Parâmetros!E12)</f>
        <v>724928.7933157316</v>
      </c>
      <c r="I38" s="136">
        <f>H38*(1+Parâmetros!F11)*(1+Parâmetros!F12)</f>
        <v>763089.0449958717</v>
      </c>
      <c r="J38" s="136">
        <f>I38*(1+Parâmetros!G11)*(1+Parâmetros!G12)</f>
        <v>801701.350672663</v>
      </c>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row>
    <row r="39" spans="1:178" s="7" customFormat="1" ht="12.75">
      <c r="A39" s="134" t="s">
        <v>236</v>
      </c>
      <c r="B39" s="354">
        <v>17000000</v>
      </c>
      <c r="C39" s="135" t="s">
        <v>237</v>
      </c>
      <c r="D39" s="136">
        <f aca="true" t="shared" si="8" ref="D39:J39">D40+D52+D62+D63+D64+D65+D66</f>
        <v>87357406.15</v>
      </c>
      <c r="E39" s="136">
        <f t="shared" si="8"/>
        <v>96862730.33000001</v>
      </c>
      <c r="F39" s="395">
        <f t="shared" si="8"/>
        <v>112072473.96000001</v>
      </c>
      <c r="G39" s="136">
        <f t="shared" si="8"/>
        <v>120933194.41999999</v>
      </c>
      <c r="H39" s="136">
        <f t="shared" si="8"/>
        <v>136469035.9058444</v>
      </c>
      <c r="I39" s="136">
        <f t="shared" si="8"/>
        <v>140246258.92440373</v>
      </c>
      <c r="J39" s="136">
        <f t="shared" si="8"/>
        <v>146038493.606661</v>
      </c>
      <c r="K39" s="390">
        <f>112072473.96-F39</f>
        <v>0</v>
      </c>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row>
    <row r="40" spans="1:178" s="7" customFormat="1" ht="12.75">
      <c r="A40" s="134" t="s">
        <v>238</v>
      </c>
      <c r="B40" s="354">
        <v>17100000</v>
      </c>
      <c r="C40" s="135" t="s">
        <v>239</v>
      </c>
      <c r="D40" s="136">
        <f aca="true" t="shared" si="9" ref="D40:J40">D41+D42+D43+D44+D45+D46+D47+D48+D49+D50+D51</f>
        <v>33109324.019999996</v>
      </c>
      <c r="E40" s="136">
        <f t="shared" si="9"/>
        <v>40376292.95</v>
      </c>
      <c r="F40" s="136">
        <f t="shared" si="9"/>
        <v>40415996.69</v>
      </c>
      <c r="G40" s="136">
        <f t="shared" si="9"/>
        <v>47785577.60000001</v>
      </c>
      <c r="H40" s="136">
        <f t="shared" si="9"/>
        <v>53982566.006058544</v>
      </c>
      <c r="I40" s="136">
        <f t="shared" si="9"/>
        <v>55785233.56541585</v>
      </c>
      <c r="J40" s="136">
        <f t="shared" si="9"/>
        <v>59606309.43482052</v>
      </c>
      <c r="K40" s="390">
        <f>33109324.02-D40</f>
        <v>0</v>
      </c>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row>
    <row r="41" spans="1:178" ht="12.75">
      <c r="A41" s="137" t="s">
        <v>240</v>
      </c>
      <c r="B41" s="352">
        <v>17115110</v>
      </c>
      <c r="C41" s="138" t="s">
        <v>241</v>
      </c>
      <c r="D41" s="78">
        <f>21432353.37</f>
        <v>21432353.37</v>
      </c>
      <c r="E41" s="78">
        <f>20411396.53</f>
        <v>20411396.53</v>
      </c>
      <c r="F41" s="78">
        <f>27519983.01</f>
        <v>27519983.01</v>
      </c>
      <c r="G41" s="78">
        <f>(17709011.97*2)-G42</f>
        <v>33149828.75</v>
      </c>
      <c r="H41" s="139">
        <f>(((E41*(1+Parâmetros!B11)*(1+Parâmetros!C11)*(1+Parâmetros!D11))+(F41*(1+Parâmetros!C11)*(1+Parâmetros!D11)+(G41*(1+Parâmetros!D11))))/3)*(1+Parâmetros!E11)*(1+Parâmetros!E16)</f>
        <v>34320480.09349619</v>
      </c>
      <c r="I41" s="139">
        <f>H41*(1+Parâmetros!F11)*(1+Parâmetros!F16)</f>
        <v>35484024.4217389</v>
      </c>
      <c r="J41" s="139">
        <f>I41*(1+Parâmetros!G11)*(1+Parâmetros!G16)</f>
        <v>38412399.6035495</v>
      </c>
      <c r="K41" s="388">
        <f>21432353.37-D41</f>
        <v>0</v>
      </c>
      <c r="L41" s="387"/>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row>
    <row r="42" spans="1:178" ht="25.5">
      <c r="A42" s="137" t="s">
        <v>242</v>
      </c>
      <c r="B42" s="352">
        <v>17115120</v>
      </c>
      <c r="C42" s="138" t="s">
        <v>243</v>
      </c>
      <c r="D42" s="78">
        <v>945849.4</v>
      </c>
      <c r="E42" s="78">
        <f>918520.38</f>
        <v>918520.38</v>
      </c>
      <c r="F42" s="78">
        <f>1206234.45</f>
        <v>1206234.45</v>
      </c>
      <c r="G42" s="78">
        <f>(17709011.97*2)-(26519863/0.8)</f>
        <v>2268195.1899999976</v>
      </c>
      <c r="H42" s="139">
        <f>(((E42*(1+Parâmetros!B11)*(1+Parâmetros!C11)*(1+Parâmetros!D11))+(F42*(1+Parâmetros!C11)*(1+Parâmetros!D11)+(G42*(1+Parâmetros!D11))))/3)*(1+Parâmetros!E11)*(1+Parâmetros!E16)</f>
        <v>1837035.5529700704</v>
      </c>
      <c r="I42" s="139">
        <f>H42*(1+Parâmetros!F11)*(1+Parâmetros!F16)</f>
        <v>1899315.3431308032</v>
      </c>
      <c r="J42" s="139">
        <f>I42*(1+Parâmetros!G11)*(1+Parâmetros!G16)</f>
        <v>2056059.3428291264</v>
      </c>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row>
    <row r="43" spans="1:178" ht="25.5">
      <c r="A43" s="137" t="s">
        <v>244</v>
      </c>
      <c r="B43" s="352">
        <v>17115130</v>
      </c>
      <c r="C43" s="138" t="s">
        <v>245</v>
      </c>
      <c r="D43" s="78">
        <f>910904.68</f>
        <v>910904.68</v>
      </c>
      <c r="E43" s="78">
        <f>920478.67</f>
        <v>920478.67</v>
      </c>
      <c r="F43" s="78">
        <f>1065524.25</f>
        <v>1065524.25</v>
      </c>
      <c r="G43" s="78">
        <f>1409602.7</f>
        <v>1409602.7</v>
      </c>
      <c r="H43" s="139">
        <f>(((E43*(1+Parâmetros!B11)*(1+Parâmetros!C11)*(1+Parâmetros!D11))+(F43*(1+Parâmetros!C11)*(1+Parâmetros!D11)+(G43*(1+Parâmetros!D11))))/3)*(1+Parâmetros!E11)*(1+Parâmetros!E16)</f>
        <v>1437752.8882962288</v>
      </c>
      <c r="I43" s="139">
        <f>H43*(1+Parâmetros!F11)*(1+Parâmetros!F16)</f>
        <v>1486496.064791265</v>
      </c>
      <c r="J43" s="139">
        <f>I43*(1+Parâmetros!G11)*(1+Parâmetros!G16)</f>
        <v>1609171.5012709852</v>
      </c>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row>
    <row r="44" spans="1:178" ht="12.75">
      <c r="A44" s="137" t="s">
        <v>246</v>
      </c>
      <c r="B44" s="352">
        <v>17115200</v>
      </c>
      <c r="C44" s="138" t="s">
        <v>247</v>
      </c>
      <c r="D44" s="78">
        <f>868155.49</f>
        <v>868155.49</v>
      </c>
      <c r="E44" s="78">
        <f>1001960.63</f>
        <v>1001960.63</v>
      </c>
      <c r="F44" s="78">
        <f>1144155.65</f>
        <v>1144155.65</v>
      </c>
      <c r="G44" s="78">
        <f>71572.64*2</f>
        <v>143145.28</v>
      </c>
      <c r="H44" s="139">
        <f>(((E44*(1+Parâmetros!B11)*(1+Parâmetros!C11)*(1+Parâmetros!D11))+(F44*(1+Parâmetros!C11)*(1+Parâmetros!D11)+(G44*(1+Parâmetros!D11))))/3)*(1+Parâmetros!E11)*(1+Parâmetros!E16)</f>
        <v>1008864.6546104411</v>
      </c>
      <c r="I44" s="139">
        <f>H44*(1+Parâmetros!F11)*(1+Parâmetros!F16)</f>
        <v>1043067.5195948087</v>
      </c>
      <c r="J44" s="139">
        <f>I44*(1+Parâmetros!G11)*(1+Parâmetros!G16)</f>
        <v>1129148.3147444953</v>
      </c>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row>
    <row r="45" spans="1:178" ht="12.75">
      <c r="A45" s="137" t="s">
        <v>248</v>
      </c>
      <c r="B45" s="352">
        <v>17120000</v>
      </c>
      <c r="C45" s="138" t="s">
        <v>249</v>
      </c>
      <c r="D45" s="78">
        <f>415552.89</f>
        <v>415552.89</v>
      </c>
      <c r="E45" s="78">
        <f>328396.96</f>
        <v>328396.96</v>
      </c>
      <c r="F45" s="78">
        <f>531975.71</f>
        <v>531975.71</v>
      </c>
      <c r="G45" s="78">
        <f>534266.48*2</f>
        <v>1068532.96</v>
      </c>
      <c r="H45" s="139">
        <f>(((E45*(1+Parâmetros!B11)*(1+Parâmetros!C11)*(1+Parâmetros!D11))+(F45*(1+Parâmetros!C11)*(1+Parâmetros!D11)+(G45*(1+Parâmetros!D11))))/3)*(1+Parâmetros!E11)*(1+Parâmetros!E16)</f>
        <v>802271.103478445</v>
      </c>
      <c r="I45" s="139">
        <f>H45*(1+Parâmetros!F11)*(1+Parâmetros!F16)</f>
        <v>829469.9651966487</v>
      </c>
      <c r="J45" s="139">
        <f>I45*(1+Parâmetros!G11)*(1+Parâmetros!G16)</f>
        <v>897923.284675571</v>
      </c>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row>
    <row r="46" spans="1:178" ht="25.5">
      <c r="A46" s="137" t="s">
        <v>250</v>
      </c>
      <c r="B46" s="352">
        <v>17130000</v>
      </c>
      <c r="C46" s="138" t="s">
        <v>251</v>
      </c>
      <c r="D46" s="78">
        <f>4342374.56</f>
        <v>4342374.56</v>
      </c>
      <c r="E46" s="78">
        <f>6507275.02+350000</f>
        <v>6857275.02</v>
      </c>
      <c r="F46" s="78">
        <f>6008251.29+131417.22</f>
        <v>6139668.51</v>
      </c>
      <c r="G46" s="78">
        <f>2788756.76*2</f>
        <v>5577513.52</v>
      </c>
      <c r="H46" s="139">
        <f>(((E46*(1+Parâmetros!B11)*(1+Parâmetros!C11)*(1+Parâmetros!D11))+(F46*(1+Parâmetros!C11)*(1+Parâmetros!D11)+(G46*(1+Parâmetros!D11))))/3)*(1+Parâmetros!E11)</f>
        <v>7571082.0312828785</v>
      </c>
      <c r="I46" s="139">
        <f>H46*(1+Parâmetros!F11)</f>
        <v>7813356.656283931</v>
      </c>
      <c r="J46" s="139">
        <f>I46*(1+Parâmetros!G11)</f>
        <v>8047757.355972449</v>
      </c>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row>
    <row r="47" spans="1:178" ht="12.75">
      <c r="A47" s="137" t="s">
        <v>601</v>
      </c>
      <c r="B47" s="352">
        <v>17165000</v>
      </c>
      <c r="C47" s="138" t="s">
        <v>252</v>
      </c>
      <c r="D47" s="78">
        <f>637131.24</f>
        <v>637131.24</v>
      </c>
      <c r="E47" s="78">
        <f>1263051.71</f>
        <v>1263051.71</v>
      </c>
      <c r="F47" s="78">
        <f>348875.6</f>
        <v>348875.6</v>
      </c>
      <c r="G47" s="78">
        <f>189046.68*2</f>
        <v>378093.36</v>
      </c>
      <c r="H47" s="139">
        <f>(((E47*(1+Parâmetros!B11)*(1+Parâmetros!C11)*(1+Parâmetros!D11))+(F47*(1+Parâmetros!C11)*(1+Parâmetros!D11)+(G47*(1+Parâmetros!D11))))/3)*(1+Parâmetros!E11)</f>
        <v>829253.0793449595</v>
      </c>
      <c r="I47" s="139">
        <f>H47*(1+Parâmetros!F11)</f>
        <v>855789.1778839981</v>
      </c>
      <c r="J47" s="139">
        <f>I47*(1+Parâmetros!G11)</f>
        <v>881462.8532205181</v>
      </c>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row>
    <row r="48" spans="1:178" ht="25.5">
      <c r="A48" s="137" t="s">
        <v>253</v>
      </c>
      <c r="B48" s="352">
        <v>17140000</v>
      </c>
      <c r="C48" s="138" t="s">
        <v>254</v>
      </c>
      <c r="D48" s="78">
        <f>2036333.51</f>
        <v>2036333.51</v>
      </c>
      <c r="E48" s="78">
        <f>2101284.77</f>
        <v>2101284.77</v>
      </c>
      <c r="F48" s="78">
        <f>2184956.15</f>
        <v>2184956.15</v>
      </c>
      <c r="G48" s="78">
        <f>1214208.82*2</f>
        <v>2428417.64</v>
      </c>
      <c r="H48" s="139">
        <f>(((E48*(1+Parâmetros!B11)*(1+Parâmetros!C11)*(1+Parâmetros!D11))+(F48*(1+Parâmetros!C11)*(1+Parâmetros!D11)+(G48*(1+Parâmetros!D11))))/3)*(1+Parâmetros!E11)</f>
        <v>2714387.6575488765</v>
      </c>
      <c r="I48" s="139">
        <f>H48*(1+Parâmetros!F11)</f>
        <v>2801248.0625904407</v>
      </c>
      <c r="J48" s="139">
        <f>I48*(1+Parâmetros!G11)</f>
        <v>2885285.504468154</v>
      </c>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row>
    <row r="49" spans="1:178" ht="12.75">
      <c r="A49" s="137" t="s">
        <v>255</v>
      </c>
      <c r="B49" s="352">
        <v>17195100</v>
      </c>
      <c r="C49" s="138" t="s">
        <v>256</v>
      </c>
      <c r="D49" s="78">
        <v>0</v>
      </c>
      <c r="E49" s="78">
        <f>302473.68</f>
        <v>302473.68</v>
      </c>
      <c r="F49" s="78">
        <v>0</v>
      </c>
      <c r="G49" s="78">
        <v>0</v>
      </c>
      <c r="H49" s="139">
        <f>(((E49*(1+Parâmetros!B11)*(1+Parâmetros!C11)*(1+Parâmetros!D11))+(F49*(1+Parâmetros!C11)*(1+Parâmetros!D11)+(G49*(1+Parâmetros!D11))))/3)*(1+Parâmetros!E11)*(1+Parâmetros!E16)</f>
        <v>137390.77233401645</v>
      </c>
      <c r="I49" s="139">
        <f>H49*(1+Parâmetros!F11)*(1+Parâmetros!F16)</f>
        <v>142048.63998233134</v>
      </c>
      <c r="J49" s="139">
        <f>I49*(1+Parâmetros!G11)*(1+Parâmetros!G16)</f>
        <v>153771.4284403217</v>
      </c>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row>
    <row r="50" spans="1:178" ht="12.75">
      <c r="A50" s="137" t="s">
        <v>257</v>
      </c>
      <c r="B50" s="352">
        <v>17170000</v>
      </c>
      <c r="C50" s="138" t="s">
        <v>258</v>
      </c>
      <c r="D50" s="78">
        <f>400000</f>
        <v>400000</v>
      </c>
      <c r="E50" s="78">
        <v>0</v>
      </c>
      <c r="F50" s="78">
        <v>0</v>
      </c>
      <c r="G50" s="78">
        <v>0</v>
      </c>
      <c r="H50" s="139">
        <f>(((E50*(1+Parâmetros!B11)*(1+Parâmetros!C11)*(1+Parâmetros!D11))+(F50*(1+Parâmetros!C11)*(1+Parâmetros!D11)+(G50*(1+Parâmetros!D11))))/3)*(1+Parâmetros!E11)</f>
        <v>0</v>
      </c>
      <c r="I50" s="139">
        <f>H50*(1+Parâmetros!F11)</f>
        <v>0</v>
      </c>
      <c r="J50" s="139">
        <f>I50*(1+Parâmetros!G11)</f>
        <v>0</v>
      </c>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row>
    <row r="51" spans="1:178" ht="12.75">
      <c r="A51" s="137" t="s">
        <v>552</v>
      </c>
      <c r="B51" s="352">
        <v>17190000</v>
      </c>
      <c r="C51" s="138" t="s">
        <v>553</v>
      </c>
      <c r="D51" s="78">
        <f>1120668.88</f>
        <v>1120668.88</v>
      </c>
      <c r="E51" s="78">
        <f>6271454.6</f>
        <v>6271454.6</v>
      </c>
      <c r="F51" s="78">
        <f>274623.36</f>
        <v>274623.36</v>
      </c>
      <c r="G51" s="78">
        <f>681124.1*2</f>
        <v>1362248.2</v>
      </c>
      <c r="H51" s="139">
        <f>(((E51*(1+Parâmetros!B11)*(1+Parâmetros!C11)*(1+Parâmetros!D11))+(F51*(1+Parâmetros!C11)*(1+Parâmetros!D11)+(G51*(1+Parâmetros!D11))))/3)*(1+Parâmetros!E11)</f>
        <v>3324048.17269644</v>
      </c>
      <c r="I51" s="139">
        <f>H51*(1+Parâmetros!F11)</f>
        <v>3430417.7142227264</v>
      </c>
      <c r="J51" s="139">
        <f>I51*(1+Parâmetros!G11)</f>
        <v>3533330.245649408</v>
      </c>
      <c r="K51" s="387"/>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row>
    <row r="52" spans="1:178" s="7" customFormat="1" ht="12.75">
      <c r="A52" s="134" t="s">
        <v>259</v>
      </c>
      <c r="B52" s="352">
        <v>17200000</v>
      </c>
      <c r="C52" s="135" t="s">
        <v>260</v>
      </c>
      <c r="D52" s="136">
        <f aca="true" t="shared" si="10" ref="D52:J52">D53+D54+D55+D56+D57+D58+D59+D60+D61</f>
        <v>35799989.92</v>
      </c>
      <c r="E52" s="136">
        <f t="shared" si="10"/>
        <v>36299521.38000001</v>
      </c>
      <c r="F52" s="136">
        <f t="shared" si="10"/>
        <v>44739338.7</v>
      </c>
      <c r="G52" s="136">
        <f t="shared" si="10"/>
        <v>43082816.61999999</v>
      </c>
      <c r="H52" s="136">
        <f t="shared" si="10"/>
        <v>49751421.20799411</v>
      </c>
      <c r="I52" s="136">
        <f t="shared" si="10"/>
        <v>50616298.09508446</v>
      </c>
      <c r="J52" s="136">
        <f t="shared" si="10"/>
        <v>49797670.86966285</v>
      </c>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row>
    <row r="53" spans="1:178" ht="12.75">
      <c r="A53" s="137" t="s">
        <v>261</v>
      </c>
      <c r="B53" s="352">
        <v>17215000</v>
      </c>
      <c r="C53" s="138" t="s">
        <v>262</v>
      </c>
      <c r="D53" s="78">
        <f>29256225.41</f>
        <v>29256225.41</v>
      </c>
      <c r="E53" s="78">
        <f>29634146.64</f>
        <v>29634146.64</v>
      </c>
      <c r="F53" s="78">
        <f>36413632.58</f>
        <v>36413632.58</v>
      </c>
      <c r="G53" s="78">
        <f>16641490.04*2</f>
        <v>33282980.08</v>
      </c>
      <c r="H53" s="139">
        <f>(((E53*(1+Parâmetros!B11)*(1+Parâmetros!C11)*(1+Parâmetros!D11))+(F53*(1+Parâmetros!C11)*(1+Parâmetros!D11)+(G53*(1+Parâmetros!D11))))/3)*(1+Parâmetros!E11)*(1+Parâmetros!E17)</f>
        <v>39834267.38333413</v>
      </c>
      <c r="I53" s="139">
        <f>H53*(1+Parâmetros!F11)*(1+Parâmetros!F17)</f>
        <v>40467978.26583925</v>
      </c>
      <c r="J53" s="139">
        <f>I53*(1+Parâmetros!G11)*(1+Parâmetros!G17)</f>
        <v>39621892.90661929</v>
      </c>
      <c r="K53" s="79"/>
      <c r="L53" s="387"/>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row>
    <row r="54" spans="1:178" ht="12.75">
      <c r="A54" s="137" t="s">
        <v>265</v>
      </c>
      <c r="B54" s="352">
        <v>17215100</v>
      </c>
      <c r="C54" s="138" t="s">
        <v>266</v>
      </c>
      <c r="D54" s="78">
        <f>2925795.18</f>
        <v>2925795.18</v>
      </c>
      <c r="E54" s="78">
        <f>3045975.56</f>
        <v>3045975.56</v>
      </c>
      <c r="F54" s="78">
        <f>3675529.43</f>
        <v>3675529.43</v>
      </c>
      <c r="G54" s="78">
        <f>2771380.52*2</f>
        <v>5542761.04</v>
      </c>
      <c r="H54" s="139">
        <f>(((E54*(1+Parâmetros!B11)*(1+Parâmetros!C11)*(1+Parâmetros!D11))+(F54*(1+Parâmetros!C11)*(1+Parâmetros!D11)+(G54*(1+Parâmetros!D11))))/3)*(1+Parâmetros!E11)*(1+Parâmetros!E17)</f>
        <v>4853535.247912129</v>
      </c>
      <c r="I54" s="139">
        <f>H54*(1+Parâmetros!F11)*(1+Parâmetros!F17)</f>
        <v>4930748.619897248</v>
      </c>
      <c r="J54" s="139">
        <f>I54*(1+Parâmetros!G11)*(1+Parâmetros!G17)</f>
        <v>4827658.858657292</v>
      </c>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row>
    <row r="55" spans="1:178" ht="12.75">
      <c r="A55" s="137" t="s">
        <v>267</v>
      </c>
      <c r="B55" s="352">
        <v>17215200</v>
      </c>
      <c r="C55" s="138" t="s">
        <v>268</v>
      </c>
      <c r="D55" s="78">
        <f>433275.4</f>
        <v>433275.4</v>
      </c>
      <c r="E55" s="78">
        <f>422067.07</f>
        <v>422067.07</v>
      </c>
      <c r="F55" s="78">
        <f>392734.99</f>
        <v>392734.99</v>
      </c>
      <c r="G55" s="78">
        <f>174388.25*2</f>
        <v>348776.5</v>
      </c>
      <c r="H55" s="139">
        <f>(((E55*(1+Parâmetros!B11)*(1+Parâmetros!C11)*(1+Parâmetros!D11))+(F55*(1+Parâmetros!C11)*(1+Parâmetros!D11)+(G55*(1+Parâmetros!D11))))/3)*(1+Parâmetros!E11)*(1+Parâmetros!E17)</f>
        <v>469540.75818281295</v>
      </c>
      <c r="I55" s="139">
        <f>H55*(1+Parâmetros!F11)*(1+Parâmetros!F17)</f>
        <v>477010.53503038816</v>
      </c>
      <c r="J55" s="139">
        <f>I55*(1+Parâmetros!G11)*(1+Parâmetros!G17)</f>
        <v>467037.424260395</v>
      </c>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row>
    <row r="56" spans="1:178" ht="12.75">
      <c r="A56" s="137" t="s">
        <v>269</v>
      </c>
      <c r="B56" s="352">
        <v>17215300</v>
      </c>
      <c r="C56" s="138" t="s">
        <v>270</v>
      </c>
      <c r="D56" s="78">
        <f>33355.36</f>
        <v>33355.36</v>
      </c>
      <c r="E56" s="78">
        <f>28057.92</f>
        <v>28057.92</v>
      </c>
      <c r="F56" s="78">
        <f>17997.78</f>
        <v>17997.78</v>
      </c>
      <c r="G56" s="78">
        <f>18181.72*2</f>
        <v>36363.44</v>
      </c>
      <c r="H56" s="139">
        <f>(((E56*(1+Parâmetros!B11)*(1+Parâmetros!C11)*(1+Parâmetros!D11))+(F56*(1+Parâmetros!C11)*(1+Parâmetros!D11)+(G56*(1+Parâmetros!D11))))/3)*(1+Parâmetros!E11)*(1+Parâmetros!E17)</f>
        <v>32790.01744496624</v>
      </c>
      <c r="I56" s="139">
        <f>H56*(1+Parâmetros!F11)*(1+Parâmetros!F17)</f>
        <v>33311.66356167381</v>
      </c>
      <c r="J56" s="139">
        <f>I56*(1+Parâmetros!G11)*(1+Parâmetros!G17)</f>
        <v>32615.199047295413</v>
      </c>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row>
    <row r="57" spans="1:178" ht="12.75">
      <c r="A57" s="137" t="s">
        <v>271</v>
      </c>
      <c r="B57" s="352">
        <v>17219800</v>
      </c>
      <c r="C57" s="138" t="s">
        <v>272</v>
      </c>
      <c r="D57" s="78">
        <f>81486.44</f>
        <v>81486.44</v>
      </c>
      <c r="E57" s="78">
        <f>22514.04</f>
        <v>22514.04</v>
      </c>
      <c r="F57" s="78">
        <f>5785.84</f>
        <v>5785.84</v>
      </c>
      <c r="G57" s="78">
        <f>13500.9*2</f>
        <v>27001.8</v>
      </c>
      <c r="H57" s="139">
        <f>(((E57*(1+Parâmetros!B11)*(1+Parâmetros!C11)*(1+Parâmetros!D11))+(F57*(1+Parâmetros!C11)*(1+Parâmetros!D11)+(G57*(1+Parâmetros!D11))))/3)*(1+Parâmetros!E11)</f>
        <v>22188.898892792524</v>
      </c>
      <c r="I57" s="139">
        <f>H57*(1+Parâmetros!F11)</f>
        <v>22898.943657361884</v>
      </c>
      <c r="J57" s="139">
        <f>I57*(1+Parâmetros!G11)</f>
        <v>23585.911967082742</v>
      </c>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row>
    <row r="58" spans="1:178" ht="12.75">
      <c r="A58" s="137" t="s">
        <v>273</v>
      </c>
      <c r="B58" s="352">
        <v>17299900</v>
      </c>
      <c r="C58" s="138" t="s">
        <v>274</v>
      </c>
      <c r="D58" s="78">
        <v>0</v>
      </c>
      <c r="E58" s="78">
        <f>210112.6</f>
        <v>210112.6</v>
      </c>
      <c r="F58" s="78">
        <f>262599.38</f>
        <v>262599.38</v>
      </c>
      <c r="G58" s="78">
        <f>10119.14+50000</f>
        <v>60119.14</v>
      </c>
      <c r="H58" s="139">
        <f>(((E58*(1+Parâmetros!B11)*(1+Parâmetros!C11)*(1+Parâmetros!D11))+(F58*(1+Parâmetros!C11)*(1+Parâmetros!D11)+(G58*(1+Parâmetros!D11))))/3)*(1+Parâmetros!E11)</f>
        <v>221197.0914583042</v>
      </c>
      <c r="I58" s="139">
        <f>H58*(1+Parâmetros!F11)</f>
        <v>228275.39838496994</v>
      </c>
      <c r="J58" s="139">
        <f>I58*(1+Parâmetros!G11)</f>
        <v>235123.66033651904</v>
      </c>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row>
    <row r="59" spans="1:178" ht="25.5">
      <c r="A59" s="137" t="s">
        <v>275</v>
      </c>
      <c r="B59" s="352">
        <v>17235000</v>
      </c>
      <c r="C59" s="138" t="s">
        <v>276</v>
      </c>
      <c r="D59" s="78">
        <f>889192.79</f>
        <v>889192.79</v>
      </c>
      <c r="E59" s="78">
        <f>1911611.68</f>
        <v>1911611.68</v>
      </c>
      <c r="F59" s="78">
        <f>2675457.08</f>
        <v>2675457.08</v>
      </c>
      <c r="G59" s="78">
        <f>775795.88*2</f>
        <v>1551591.76</v>
      </c>
      <c r="H59" s="139">
        <f>(((E59*(1+Parâmetros!B11)*(1+Parâmetros!C11)*(1+Parâmetros!D11))+(F59*(1+Parâmetros!C11)*(1+Parâmetros!D11)+(G59*(1+Parâmetros!D11))))/3)*(1+Parâmetros!E11)</f>
        <v>2506543.8885428086</v>
      </c>
      <c r="I59" s="139">
        <f>H59*(1+Parâmetros!F11)</f>
        <v>2586753.2929761787</v>
      </c>
      <c r="J59" s="139">
        <f>I59*(1+Parâmetros!G11)</f>
        <v>2664355.891765464</v>
      </c>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row>
    <row r="60" spans="1:178" ht="12.75">
      <c r="A60" s="137" t="s">
        <v>277</v>
      </c>
      <c r="B60" s="352">
        <v>17240000</v>
      </c>
      <c r="C60" s="138" t="s">
        <v>278</v>
      </c>
      <c r="D60" s="78">
        <f>2180659.34</f>
        <v>2180659.34</v>
      </c>
      <c r="E60" s="78">
        <f>1002857.42</f>
        <v>1002857.42</v>
      </c>
      <c r="F60" s="78">
        <f>1186053.93</f>
        <v>1186053.93</v>
      </c>
      <c r="G60" s="78">
        <f>1103861.43*2</f>
        <v>2207722.86</v>
      </c>
      <c r="H60" s="139">
        <f>(((E60*(1+Parâmetros!B11)*(1+Parâmetros!C11)*(1+Parâmetros!D11))+(F60*(1+Parâmetros!C11)*(1+Parâmetros!D11)+(G60*(1+Parâmetros!D11))))/3)*(1+Parâmetros!E11)</f>
        <v>1747121.680311739</v>
      </c>
      <c r="I60" s="139">
        <f>H60*(1+Parâmetros!F11)</f>
        <v>1803029.5740817147</v>
      </c>
      <c r="J60" s="139">
        <f>I60*(1+Parâmetros!G11)</f>
        <v>1857120.4613041661</v>
      </c>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row>
    <row r="61" spans="1:178" ht="12.75">
      <c r="A61" s="137" t="s">
        <v>279</v>
      </c>
      <c r="B61" s="352">
        <v>17290000</v>
      </c>
      <c r="C61" s="138" t="s">
        <v>274</v>
      </c>
      <c r="D61" s="78">
        <v>0</v>
      </c>
      <c r="E61" s="78">
        <f>22178.45</f>
        <v>22178.45</v>
      </c>
      <c r="F61" s="78">
        <f>100000+9547.69</f>
        <v>109547.69</v>
      </c>
      <c r="G61" s="78">
        <f>25500</f>
        <v>25500</v>
      </c>
      <c r="H61" s="139">
        <f>(((E61*(1+Parâmetros!B11)*(1+Parâmetros!C11)*(1+Parâmetros!D11))+(F61*(1+Parâmetros!C11)*(1+Parâmetros!D11)+(G61*(1+Parâmetros!D11))))/3)*(1+Parâmetros!E11)</f>
        <v>64236.241914417726</v>
      </c>
      <c r="I61" s="139">
        <f>H61*(1+Parâmetros!F11)</f>
        <v>66291.8016556791</v>
      </c>
      <c r="J61" s="139">
        <f>I61*(1+Parâmetros!G11)</f>
        <v>68280.55570534947</v>
      </c>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row>
    <row r="62" spans="1:178" ht="12.75">
      <c r="A62" s="137" t="s">
        <v>280</v>
      </c>
      <c r="B62" s="352">
        <v>17300000</v>
      </c>
      <c r="C62" s="138" t="s">
        <v>281</v>
      </c>
      <c r="D62" s="78">
        <f>25465.2</f>
        <v>25465.2</v>
      </c>
      <c r="E62" s="78">
        <f>30554.24</f>
        <v>30554.24</v>
      </c>
      <c r="F62" s="78">
        <f>33651.84</f>
        <v>33651.84</v>
      </c>
      <c r="G62" s="78">
        <f>18516.9*2</f>
        <v>37033.8</v>
      </c>
      <c r="H62" s="139">
        <f>(((E62*(1+Parâmetros!B11)*(1+Parâmetros!C11)*(1+Parâmetros!D11))+(F62*(1+Parâmetros!C11)*(1+Parâmetros!D11)+(G62*(1+Parâmetros!D11))))/3)*(1+Parâmetros!E11)</f>
        <v>40889.22245892883</v>
      </c>
      <c r="I62" s="139">
        <f>H62*(1+Parâmetros!F11)</f>
        <v>42197.67757761455</v>
      </c>
      <c r="J62" s="139">
        <f>I62*(1+Parâmetros!G11)</f>
        <v>43463.60790494299</v>
      </c>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row>
    <row r="63" spans="1:178" ht="12.75">
      <c r="A63" s="137" t="s">
        <v>282</v>
      </c>
      <c r="B63" s="352">
        <v>17400000</v>
      </c>
      <c r="C63" s="138" t="s">
        <v>283</v>
      </c>
      <c r="D63" s="78">
        <v>0</v>
      </c>
      <c r="E63" s="78">
        <f>34830.83</f>
        <v>34830.83</v>
      </c>
      <c r="F63" s="78">
        <v>0</v>
      </c>
      <c r="G63" s="78">
        <v>0</v>
      </c>
      <c r="H63" s="139">
        <f>(((E63*(1+Parâmetros!B11)*(1+Parâmetros!C11)*(1+Parâmetros!D11))+(F63*(1+Parâmetros!C11)*(1+Parâmetros!D11)+(G63*(1+Parâmetros!D11))))/3)*(1+Parâmetros!E11)</f>
        <v>15000.419373928456</v>
      </c>
      <c r="I63" s="139">
        <f>H63*(1+Parâmetros!F11)</f>
        <v>15480.432793894168</v>
      </c>
      <c r="J63" s="139">
        <f>I63*(1+Parâmetros!G11)</f>
        <v>15944.845777710992</v>
      </c>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row>
    <row r="64" spans="1:178" ht="12.75">
      <c r="A64" s="137" t="s">
        <v>371</v>
      </c>
      <c r="B64" s="352">
        <v>17515000</v>
      </c>
      <c r="C64" s="138" t="s">
        <v>372</v>
      </c>
      <c r="D64" s="78">
        <f>18421204.78</f>
        <v>18421204.78</v>
      </c>
      <c r="E64" s="78">
        <f>20113480.93</f>
        <v>20113480.93</v>
      </c>
      <c r="F64" s="78">
        <f>26879636.73</f>
        <v>26879636.73</v>
      </c>
      <c r="G64" s="78">
        <f>15013883.2*2</f>
        <v>30027766.4</v>
      </c>
      <c r="H64" s="139">
        <f>(((E64*(1+Parâmetros!B11)*(1+Parâmetros!C11)*(1+Parâmetros!D11))+(F64*(1+Parâmetros!C11)*(1+Parâmetros!D11)+(G64*(1+Parâmetros!D11))))/3)*(1+Parâmetros!E11)*(1+Parâmetros!E16)</f>
        <v>32674105.839800976</v>
      </c>
      <c r="I64" s="139">
        <f>H64*(1+Parâmetros!F11)*(1+Parâmetros!F16)</f>
        <v>33781834.24064893</v>
      </c>
      <c r="J64" s="139">
        <f>I64*(1+Parâmetros!G11)*(1+Parâmetros!G16)</f>
        <v>36569733.48822554</v>
      </c>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row>
    <row r="65" spans="1:178" ht="12.75">
      <c r="A65" s="137" t="s">
        <v>285</v>
      </c>
      <c r="B65" s="352">
        <v>17610000</v>
      </c>
      <c r="C65" s="138" t="s">
        <v>286</v>
      </c>
      <c r="D65" s="78"/>
      <c r="E65" s="78"/>
      <c r="F65" s="78"/>
      <c r="G65" s="78"/>
      <c r="H65" s="139">
        <f>(((E65*(1+Parâmetros!B11)*(1+Parâmetros!C11)*(1+Parâmetros!D11))+(F65*(1+Parâmetros!C11)*(1+Parâmetros!D11)+(G65*(1+Parâmetros!D11))))/3)*(1+Parâmetros!E11)</f>
        <v>0</v>
      </c>
      <c r="I65" s="139">
        <f>H65*(1+Parâmetros!F11)</f>
        <v>0</v>
      </c>
      <c r="J65" s="139">
        <f>I65*(1+Parâmetros!G11)</f>
        <v>0</v>
      </c>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row>
    <row r="66" spans="1:178" ht="12.75">
      <c r="A66" s="137" t="s">
        <v>287</v>
      </c>
      <c r="B66" s="352">
        <v>17910000</v>
      </c>
      <c r="C66" s="138" t="s">
        <v>288</v>
      </c>
      <c r="D66" s="78">
        <f>1422.23</f>
        <v>1422.23</v>
      </c>
      <c r="E66" s="78">
        <f>8050</f>
        <v>8050</v>
      </c>
      <c r="F66" s="78">
        <f>3850</f>
        <v>3850</v>
      </c>
      <c r="G66" s="78">
        <v>0</v>
      </c>
      <c r="H66" s="139">
        <f>(((E66*(1+Parâmetros!B11)*(1+Parâmetros!C11)*(1+Parâmetros!D11))+(F66*(1+Parâmetros!C11)*(1+Parâmetros!D11)+(G66*(1+Parâmetros!D11))))/3)*(1+Parâmetros!E11)</f>
        <v>5053.210157896741</v>
      </c>
      <c r="I66" s="139">
        <f>H66*(1+Parâmetros!F11)</f>
        <v>5214.9128829494375</v>
      </c>
      <c r="J66" s="139">
        <f>I66*(1+Parâmetros!G11)</f>
        <v>5371.360269437921</v>
      </c>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row>
    <row r="67" spans="1:178" s="7" customFormat="1" ht="12.75">
      <c r="A67" s="134" t="s">
        <v>289</v>
      </c>
      <c r="B67" s="352">
        <v>19000000</v>
      </c>
      <c r="C67" s="135" t="s">
        <v>290</v>
      </c>
      <c r="D67" s="136">
        <f aca="true" t="shared" si="11" ref="D67:J67">D68+D69+D72</f>
        <v>1446515.04</v>
      </c>
      <c r="E67" s="136">
        <f t="shared" si="11"/>
        <v>5038908.94</v>
      </c>
      <c r="F67" s="136">
        <f t="shared" si="11"/>
        <v>2656240.6100000003</v>
      </c>
      <c r="G67" s="136">
        <f t="shared" si="11"/>
        <v>2622334.58</v>
      </c>
      <c r="H67" s="136">
        <f t="shared" si="11"/>
        <v>4246306.268348308</v>
      </c>
      <c r="I67" s="136">
        <f t="shared" si="11"/>
        <v>4382188.068935454</v>
      </c>
      <c r="J67" s="136">
        <f t="shared" si="11"/>
        <v>4513653.711003518</v>
      </c>
      <c r="K67" s="390">
        <f>2656240.61-F67</f>
        <v>0</v>
      </c>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row>
    <row r="68" spans="1:178" ht="12.75">
      <c r="A68" s="137" t="s">
        <v>291</v>
      </c>
      <c r="B68" s="352">
        <v>19110000</v>
      </c>
      <c r="C68" s="138" t="s">
        <v>292</v>
      </c>
      <c r="D68" s="78">
        <f>76279.96</f>
        <v>76279.96</v>
      </c>
      <c r="E68" s="78">
        <f>47063.7</f>
        <v>47063.7</v>
      </c>
      <c r="F68" s="78">
        <f>98725.13</f>
        <v>98725.13</v>
      </c>
      <c r="G68" s="78">
        <f>31539.88*2</f>
        <v>63079.76</v>
      </c>
      <c r="H68" s="139">
        <f>(((E68*(1+Parâmetros!B11)*(1+Parâmetros!C11)*(1+Parâmetros!D11))+(F68*(1+Parâmetros!C11)*(1+Parâmetros!D11)+(G68*(1+Parâmetros!D11))))/3)*(1+Parâmetros!E11)</f>
        <v>84563.15893399397</v>
      </c>
      <c r="I68" s="139">
        <f>H68*(1+Parâmetros!F11)</f>
        <v>87269.18001988178</v>
      </c>
      <c r="J68" s="139">
        <f>I68*(1+Parâmetros!G11)</f>
        <v>89887.25542047824</v>
      </c>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row>
    <row r="69" spans="1:178" ht="12.75">
      <c r="A69" s="197" t="s">
        <v>293</v>
      </c>
      <c r="B69" s="368">
        <v>19200000</v>
      </c>
      <c r="C69" s="198" t="s">
        <v>294</v>
      </c>
      <c r="D69" s="199">
        <f aca="true" t="shared" si="12" ref="D69:J69">D70+D71</f>
        <v>115356.17</v>
      </c>
      <c r="E69" s="199">
        <f t="shared" si="12"/>
        <v>74562.91</v>
      </c>
      <c r="F69" s="199">
        <f t="shared" si="12"/>
        <v>523725.61</v>
      </c>
      <c r="G69" s="199">
        <f t="shared" si="12"/>
        <v>321068.5</v>
      </c>
      <c r="H69" s="199">
        <f t="shared" si="12"/>
        <v>368109.0115829261</v>
      </c>
      <c r="I69" s="199">
        <f t="shared" si="12"/>
        <v>379888.49995357974</v>
      </c>
      <c r="J69" s="199">
        <f t="shared" si="12"/>
        <v>391285.15495218715</v>
      </c>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row>
    <row r="70" spans="1:178" ht="12.75">
      <c r="A70" s="137" t="s">
        <v>436</v>
      </c>
      <c r="B70" s="352">
        <v>19220120</v>
      </c>
      <c r="C70" s="138" t="s">
        <v>437</v>
      </c>
      <c r="D70" s="78">
        <v>0</v>
      </c>
      <c r="E70" s="78">
        <v>0</v>
      </c>
      <c r="F70" s="78">
        <v>0</v>
      </c>
      <c r="G70" s="78">
        <v>0</v>
      </c>
      <c r="H70" s="199">
        <f>(((E70*(1+Parâmetros!B11)*(1+Parâmetros!C11)*(1+Parâmetros!D11))+(F70*(1+Parâmetros!C11)*(1+Parâmetros!D11)+(G70*(1+Parâmetros!D11))))/3)*(1+Parâmetros!E11)</f>
        <v>0</v>
      </c>
      <c r="I70" s="199">
        <f>H70*(1+Parâmetros!F11)</f>
        <v>0</v>
      </c>
      <c r="J70" s="199">
        <f>I70*(1+Parâmetros!G11)</f>
        <v>0</v>
      </c>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row>
    <row r="71" spans="1:178" ht="12.75">
      <c r="A71" s="137" t="s">
        <v>438</v>
      </c>
      <c r="B71" s="352">
        <v>19229900</v>
      </c>
      <c r="C71" s="138" t="s">
        <v>439</v>
      </c>
      <c r="D71" s="78">
        <f>115356.17</f>
        <v>115356.17</v>
      </c>
      <c r="E71" s="78">
        <f>74562.91</f>
        <v>74562.91</v>
      </c>
      <c r="F71" s="78">
        <f>523725.61</f>
        <v>523725.61</v>
      </c>
      <c r="G71" s="78">
        <f>160534.25*2</f>
        <v>321068.5</v>
      </c>
      <c r="H71" s="199">
        <f>(((E71*(1+Parâmetros!B11)*(1+Parâmetros!C11)*(1+Parâmetros!D11))+(F71*(1+Parâmetros!C11)*(1+Parâmetros!D11)+(G71*(1+Parâmetros!D11))))/3)*(1+Parâmetros!E11)</f>
        <v>368109.0115829261</v>
      </c>
      <c r="I71" s="199">
        <f>H71*(1+Parâmetros!F11)</f>
        <v>379888.49995357974</v>
      </c>
      <c r="J71" s="199">
        <f>I71*(1+Parâmetros!G11)</f>
        <v>391285.15495218715</v>
      </c>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row>
    <row r="72" spans="1:178" s="7" customFormat="1" ht="12.75">
      <c r="A72" s="134" t="s">
        <v>295</v>
      </c>
      <c r="B72" s="352">
        <v>19990000</v>
      </c>
      <c r="C72" s="135" t="s">
        <v>296</v>
      </c>
      <c r="D72" s="136">
        <f aca="true" t="shared" si="13" ref="D72:J72">D73+D74+D75+D76+D77+D78</f>
        <v>1254878.91</v>
      </c>
      <c r="E72" s="136">
        <f t="shared" si="13"/>
        <v>4917282.33</v>
      </c>
      <c r="F72" s="136">
        <f t="shared" si="13"/>
        <v>2033789.87</v>
      </c>
      <c r="G72" s="136">
        <f t="shared" si="13"/>
        <v>2238186.3200000003</v>
      </c>
      <c r="H72" s="136">
        <f t="shared" si="13"/>
        <v>3793634.097831388</v>
      </c>
      <c r="I72" s="136">
        <f t="shared" si="13"/>
        <v>3915030.388961992</v>
      </c>
      <c r="J72" s="136">
        <f t="shared" si="13"/>
        <v>4032481.3006308526</v>
      </c>
      <c r="K72" s="390">
        <f>2033789.87-F72</f>
        <v>0</v>
      </c>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row>
    <row r="73" spans="1:178" ht="25.5">
      <c r="A73" s="137" t="s">
        <v>297</v>
      </c>
      <c r="B73" s="352">
        <v>19990300</v>
      </c>
      <c r="C73" s="138" t="s">
        <v>298</v>
      </c>
      <c r="D73" s="78">
        <v>0</v>
      </c>
      <c r="E73" s="78">
        <f>3564553.49</f>
        <v>3564553.49</v>
      </c>
      <c r="F73" s="78">
        <v>462025.25</v>
      </c>
      <c r="G73" s="78">
        <f>282333.34*2</f>
        <v>564666.68</v>
      </c>
      <c r="H73" s="139">
        <f>(((E73*(1+Parâmetros!B11)*(1+Parâmetros!C11)*(1+Parâmetros!D11))+(F73*(1+Parâmetros!C11)*(1+Parâmetros!D11)+(G73*(1+Parâmetros!D11))))/3)*(1+Parâmetros!E11)</f>
        <v>1936900.6113820698</v>
      </c>
      <c r="I73" s="139">
        <f>H73*(1+Parâmetros!F11)</f>
        <v>1998881.430946296</v>
      </c>
      <c r="J73" s="139">
        <f>I73*(1+Parâmetros!G11)</f>
        <v>2058847.873874685</v>
      </c>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row>
    <row r="74" spans="1:178" ht="12.75">
      <c r="A74" s="137" t="s">
        <v>299</v>
      </c>
      <c r="B74" s="352">
        <v>19990600</v>
      </c>
      <c r="C74" s="138" t="s">
        <v>300</v>
      </c>
      <c r="D74" s="78">
        <v>0</v>
      </c>
      <c r="E74" s="78">
        <v>0</v>
      </c>
      <c r="F74" s="78">
        <v>0</v>
      </c>
      <c r="G74" s="78">
        <v>0</v>
      </c>
      <c r="H74" s="139">
        <f>(((E74*(1+Parâmetros!B11)*(1+Parâmetros!C11)*(1+Parâmetros!D11))+(F74*(1+Parâmetros!C11)*(1+Parâmetros!D11)+(G74*(1+Parâmetros!D11))))/3)*(1+Parâmetros!E11)</f>
        <v>0</v>
      </c>
      <c r="I74" s="139">
        <f>H74*(1+Parâmetros!F11)</f>
        <v>0</v>
      </c>
      <c r="J74" s="139">
        <f>I74*(1+Parâmetros!G11)</f>
        <v>0</v>
      </c>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row>
    <row r="75" spans="1:178" ht="12.75">
      <c r="A75" s="137" t="s">
        <v>440</v>
      </c>
      <c r="B75" s="352">
        <v>19991100</v>
      </c>
      <c r="C75" s="138" t="s">
        <v>441</v>
      </c>
      <c r="D75" s="78">
        <v>0</v>
      </c>
      <c r="E75" s="78">
        <v>0</v>
      </c>
      <c r="F75" s="78">
        <v>0</v>
      </c>
      <c r="G75" s="78">
        <v>0</v>
      </c>
      <c r="H75" s="139">
        <f>((D75+E75+F75+G75)/4)/Parâmetros!D22*Parâmetros!E22</f>
        <v>0</v>
      </c>
      <c r="I75" s="139">
        <f>((E75+F75+G75+H75)/4)/Parâmetros!E22*Parâmetros!F22</f>
        <v>0</v>
      </c>
      <c r="J75" s="139">
        <f>((F75+G75+H75+I75)/4)/Parâmetros!F22*Parâmetros!G22</f>
        <v>0</v>
      </c>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row>
    <row r="76" spans="1:178" ht="12.75">
      <c r="A76" s="137" t="s">
        <v>301</v>
      </c>
      <c r="B76" s="352">
        <v>19991200</v>
      </c>
      <c r="C76" s="138" t="s">
        <v>302</v>
      </c>
      <c r="D76" s="78">
        <v>9068.19</v>
      </c>
      <c r="E76" s="78">
        <f>4539.83</f>
        <v>4539.83</v>
      </c>
      <c r="F76" s="78">
        <f>3790.26</f>
        <v>3790.26</v>
      </c>
      <c r="G76" s="78">
        <f>35.92*2</f>
        <v>71.84</v>
      </c>
      <c r="H76" s="139">
        <f>(((E76*(1+Parâmetros!B11)*(1+Parâmetros!C11)*(1+Parâmetros!D11))+(F76*(1+Parâmetros!C11)*(1+Parâmetros!D11)+(G76*(1+Parâmetros!D11))))/3)*(1+Parâmetros!E11)</f>
        <v>3543.782819920703</v>
      </c>
      <c r="I76" s="139">
        <f>H76*(1+Parâmetros!F11)</f>
        <v>3657.1838701581655</v>
      </c>
      <c r="J76" s="139">
        <f>I76*(1+Parâmetros!G11)</f>
        <v>3766.8993862629104</v>
      </c>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row>
    <row r="77" spans="1:178" ht="12.75">
      <c r="A77" s="137" t="s">
        <v>442</v>
      </c>
      <c r="B77" s="352">
        <v>19999930</v>
      </c>
      <c r="C77" s="138" t="s">
        <v>443</v>
      </c>
      <c r="D77" s="78">
        <v>0</v>
      </c>
      <c r="E77" s="78">
        <v>0</v>
      </c>
      <c r="F77" s="78">
        <v>0</v>
      </c>
      <c r="G77" s="78">
        <v>0</v>
      </c>
      <c r="H77" s="139">
        <f>((D77+E77+F77+G77)/4)*(1+Parâmetros!E11)</f>
        <v>0</v>
      </c>
      <c r="I77" s="139">
        <f>((E77+F77+G77+H77)/4)*(1+Parâmetros!F11)</f>
        <v>0</v>
      </c>
      <c r="J77" s="139">
        <f>((F77+G77+H77+I77)/4)*(1+Parâmetros!G11)</f>
        <v>0</v>
      </c>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row>
    <row r="78" spans="1:178" ht="12.75">
      <c r="A78" s="137" t="s">
        <v>303</v>
      </c>
      <c r="B78" s="352">
        <v>19999900</v>
      </c>
      <c r="C78" s="138" t="s">
        <v>444</v>
      </c>
      <c r="D78" s="78">
        <f>1245810.72</f>
        <v>1245810.72</v>
      </c>
      <c r="E78" s="78">
        <f>1348189.01</f>
        <v>1348189.01</v>
      </c>
      <c r="F78" s="78">
        <f>1567974.36</f>
        <v>1567974.36</v>
      </c>
      <c r="G78" s="78">
        <f>836723.9*2</f>
        <v>1673447.8</v>
      </c>
      <c r="H78" s="139">
        <f>(((E78*(1+Parâmetros!B11)*(1+Parâmetros!C11)*(1+Parâmetros!D11))+(F78*(1+Parâmetros!C11)*(1+Parâmetros!D11)+(G78*(1+Parâmetros!D11))))/3)*(1+Parâmetros!E11)</f>
        <v>1853189.7036293976</v>
      </c>
      <c r="I78" s="139">
        <f>H78*(1+Parâmetros!F11)</f>
        <v>1912491.7741455382</v>
      </c>
      <c r="J78" s="139">
        <f>I78*(1+Parâmetros!G11)</f>
        <v>1969866.5273699043</v>
      </c>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row>
    <row r="79" spans="1:178" s="10" customFormat="1" ht="18">
      <c r="A79" s="134" t="s">
        <v>304</v>
      </c>
      <c r="B79" s="352">
        <v>20000000</v>
      </c>
      <c r="C79" s="135" t="s">
        <v>305</v>
      </c>
      <c r="D79" s="136">
        <f aca="true" t="shared" si="14" ref="D79:J79">D80+D81+D86+D87+D95</f>
        <v>1522864.55</v>
      </c>
      <c r="E79" s="136">
        <f t="shared" si="14"/>
        <v>837429.07</v>
      </c>
      <c r="F79" s="136">
        <f t="shared" si="14"/>
        <v>1012203.26</v>
      </c>
      <c r="G79" s="136">
        <f t="shared" si="14"/>
        <v>3141898.3600000003</v>
      </c>
      <c r="H79" s="136">
        <f t="shared" si="14"/>
        <v>1972195.0828030498</v>
      </c>
      <c r="I79" s="136">
        <f t="shared" si="14"/>
        <v>2074521.096519728</v>
      </c>
      <c r="J79" s="136">
        <f t="shared" si="14"/>
        <v>2177222.3625838202</v>
      </c>
      <c r="K79" s="396">
        <f>1012203.26-F79</f>
        <v>0</v>
      </c>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row>
    <row r="80" spans="1:10" s="79" customFormat="1" ht="12.75">
      <c r="A80" s="137" t="s">
        <v>306</v>
      </c>
      <c r="B80" s="352">
        <v>21000000</v>
      </c>
      <c r="C80" s="138" t="s">
        <v>307</v>
      </c>
      <c r="D80" s="78"/>
      <c r="E80" s="78"/>
      <c r="F80" s="78"/>
      <c r="G80" s="78"/>
      <c r="H80" s="139">
        <f>Dívida!E21</f>
        <v>0</v>
      </c>
      <c r="I80" s="139">
        <f>Dívida!F21</f>
        <v>0</v>
      </c>
      <c r="J80" s="139">
        <f>Dívida!G21</f>
        <v>0</v>
      </c>
    </row>
    <row r="81" spans="1:178" s="7" customFormat="1" ht="12.75">
      <c r="A81" s="134" t="s">
        <v>308</v>
      </c>
      <c r="B81" s="352">
        <v>22000000</v>
      </c>
      <c r="C81" s="135" t="s">
        <v>309</v>
      </c>
      <c r="D81" s="136">
        <f aca="true" t="shared" si="15" ref="D81:J81">D82+D83+D84+D85</f>
        <v>0</v>
      </c>
      <c r="E81" s="136">
        <f t="shared" si="15"/>
        <v>3015.15</v>
      </c>
      <c r="F81" s="136">
        <f t="shared" si="15"/>
        <v>0</v>
      </c>
      <c r="G81" s="136">
        <f t="shared" si="15"/>
        <v>0</v>
      </c>
      <c r="H81" s="136">
        <f t="shared" si="15"/>
        <v>784.6927875</v>
      </c>
      <c r="I81" s="136">
        <f t="shared" si="15"/>
        <v>980.359439175</v>
      </c>
      <c r="J81" s="136">
        <f t="shared" si="15"/>
        <v>454.5009483688125</v>
      </c>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row>
    <row r="82" spans="1:178" s="7" customFormat="1" ht="12.75">
      <c r="A82" s="137" t="s">
        <v>445</v>
      </c>
      <c r="B82" s="352">
        <v>22110100</v>
      </c>
      <c r="C82" s="138" t="s">
        <v>446</v>
      </c>
      <c r="D82" s="78"/>
      <c r="E82" s="78">
        <f>3015.15</f>
        <v>3015.15</v>
      </c>
      <c r="F82" s="78"/>
      <c r="G82" s="78"/>
      <c r="H82" s="139">
        <f>((D82+E82+F82+G82)/4)*(1+Parâmetros!E11)</f>
        <v>784.6927875</v>
      </c>
      <c r="I82" s="139">
        <f>((E82+F82+G82+H82)/4)*(1+Parâmetros!F11)</f>
        <v>980.359439175</v>
      </c>
      <c r="J82" s="139">
        <f>((F82+G82+H82+I82)/4)*(1+Parâmetros!G11)</f>
        <v>454.5009483688125</v>
      </c>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76"/>
      <c r="BQ82" s="76"/>
      <c r="BR82" s="76"/>
      <c r="BS82" s="76"/>
      <c r="BT82" s="76"/>
      <c r="BU82" s="76"/>
      <c r="BV82" s="76"/>
      <c r="BW82" s="76"/>
      <c r="BX82" s="76"/>
      <c r="BY82" s="76"/>
      <c r="BZ82" s="76"/>
      <c r="CA82" s="76"/>
      <c r="CB82" s="76"/>
      <c r="CC82" s="76"/>
      <c r="CD82" s="76"/>
      <c r="CE82" s="76"/>
      <c r="CF82" s="76"/>
      <c r="CG82" s="76"/>
      <c r="CH82" s="76"/>
      <c r="CI82" s="76"/>
      <c r="CJ82" s="76"/>
      <c r="CK82" s="76"/>
      <c r="CL82" s="76"/>
      <c r="CM82" s="76"/>
      <c r="CN82" s="76"/>
      <c r="CO82" s="76"/>
      <c r="CP82" s="76"/>
      <c r="CQ82" s="76"/>
      <c r="CR82" s="76"/>
      <c r="CS82" s="76"/>
      <c r="CT82" s="76"/>
      <c r="CU82" s="76"/>
      <c r="CV82" s="76"/>
      <c r="CW82" s="76"/>
      <c r="CX82" s="76"/>
      <c r="CY82" s="76"/>
      <c r="CZ82" s="76"/>
      <c r="DA82" s="76"/>
      <c r="DB82" s="76"/>
      <c r="DC82" s="76"/>
      <c r="DD82" s="76"/>
      <c r="DE82" s="76"/>
      <c r="DF82" s="76"/>
      <c r="DG82" s="76"/>
      <c r="DH82" s="76"/>
      <c r="DI82" s="76"/>
      <c r="DJ82" s="76"/>
      <c r="DK82" s="76"/>
      <c r="DL82" s="76"/>
      <c r="DM82" s="76"/>
      <c r="DN82" s="76"/>
      <c r="DO82" s="76"/>
      <c r="DP82" s="76"/>
      <c r="DQ82" s="76"/>
      <c r="DR82" s="76"/>
      <c r="DS82" s="76"/>
      <c r="DT82" s="76"/>
      <c r="DU82" s="76"/>
      <c r="DV82" s="76"/>
      <c r="DW82" s="76"/>
      <c r="DX82" s="76"/>
      <c r="DY82" s="76"/>
      <c r="DZ82" s="76"/>
      <c r="EA82" s="76"/>
      <c r="EB82" s="76"/>
      <c r="EC82" s="76"/>
      <c r="ED82" s="76"/>
      <c r="EE82" s="76"/>
      <c r="EF82" s="76"/>
      <c r="EG82" s="76"/>
      <c r="EH82" s="76"/>
      <c r="EI82" s="76"/>
      <c r="EJ82" s="76"/>
      <c r="EK82" s="76"/>
      <c r="EL82" s="76"/>
      <c r="EM82" s="76"/>
      <c r="EN82" s="76"/>
      <c r="EO82" s="76"/>
      <c r="EP82" s="76"/>
      <c r="EQ82" s="76"/>
      <c r="ER82" s="76"/>
      <c r="ES82" s="76"/>
      <c r="ET82" s="76"/>
      <c r="EU82" s="76"/>
      <c r="EV82" s="76"/>
      <c r="EW82" s="76"/>
      <c r="EX82" s="76"/>
      <c r="EY82" s="76"/>
      <c r="EZ82" s="76"/>
      <c r="FA82" s="76"/>
      <c r="FB82" s="76"/>
      <c r="FC82" s="76"/>
      <c r="FD82" s="76"/>
      <c r="FE82" s="76"/>
      <c r="FF82" s="76"/>
      <c r="FG82" s="76"/>
      <c r="FH82" s="76"/>
      <c r="FI82" s="76"/>
      <c r="FJ82" s="76"/>
      <c r="FK82" s="76"/>
      <c r="FL82" s="76"/>
      <c r="FM82" s="76"/>
      <c r="FN82" s="76"/>
      <c r="FO82" s="76"/>
      <c r="FP82" s="76"/>
      <c r="FQ82" s="76"/>
      <c r="FR82" s="76"/>
      <c r="FS82" s="76"/>
      <c r="FT82" s="76"/>
      <c r="FU82" s="76"/>
      <c r="FV82" s="76"/>
    </row>
    <row r="83" spans="1:178" s="7" customFormat="1" ht="12.75">
      <c r="A83" s="137" t="s">
        <v>447</v>
      </c>
      <c r="B83" s="352">
        <v>22110200</v>
      </c>
      <c r="C83" s="138" t="s">
        <v>448</v>
      </c>
      <c r="D83" s="200">
        <v>0</v>
      </c>
      <c r="E83" s="200">
        <v>0</v>
      </c>
      <c r="F83" s="200">
        <v>0</v>
      </c>
      <c r="G83" s="200">
        <v>0</v>
      </c>
      <c r="H83" s="139">
        <f>((D83+E83+F83+G83)/4)*(1+Parâmetros!E11)</f>
        <v>0</v>
      </c>
      <c r="I83" s="139">
        <f>((E83+F83+G83+H83)/4)*(1+Parâmetros!F11)</f>
        <v>0</v>
      </c>
      <c r="J83" s="139">
        <f>((F83+G83+H83+I83)/4)*(1+Parâmetros!G11)</f>
        <v>0</v>
      </c>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row>
    <row r="84" spans="1:10" s="79" customFormat="1" ht="12.75">
      <c r="A84" s="137" t="s">
        <v>310</v>
      </c>
      <c r="B84" s="352">
        <v>22100000</v>
      </c>
      <c r="C84" s="138" t="s">
        <v>311</v>
      </c>
      <c r="D84" s="78"/>
      <c r="E84" s="78"/>
      <c r="F84" s="78"/>
      <c r="G84" s="78"/>
      <c r="H84" s="139">
        <f>(((E84*(1+Parâmetros!B11)*(1+Parâmetros!C11)*(1+Parâmetros!D11))+(F84*(1+Parâmetros!C11)*(1+Parâmetros!D11)+(G84*(1+Parâmetros!D11))))/3)*(1+Parâmetros!E11)</f>
        <v>0</v>
      </c>
      <c r="I84" s="139">
        <f>H84*(1+Parâmetros!F11)</f>
        <v>0</v>
      </c>
      <c r="J84" s="139">
        <f>I84*(1+Parâmetros!G11)</f>
        <v>0</v>
      </c>
    </row>
    <row r="85" spans="1:10" s="79" customFormat="1" ht="12.75">
      <c r="A85" s="137" t="s">
        <v>312</v>
      </c>
      <c r="B85" s="352">
        <v>22210100</v>
      </c>
      <c r="C85" s="138" t="s">
        <v>313</v>
      </c>
      <c r="D85" s="78">
        <v>0</v>
      </c>
      <c r="E85" s="78">
        <v>0</v>
      </c>
      <c r="F85" s="78">
        <v>0</v>
      </c>
      <c r="G85" s="78">
        <v>0</v>
      </c>
      <c r="H85" s="139">
        <f>(((E85*(1+Parâmetros!B11)*(1+Parâmetros!C11)*(1+Parâmetros!D11))+(F85*(1+Parâmetros!C11)*(1+Parâmetros!D11)+(G85*(1+Parâmetros!D11))))/3)*(1+Parâmetros!E11)</f>
        <v>0</v>
      </c>
      <c r="I85" s="139">
        <f>H85*(1+Parâmetros!F11)</f>
        <v>0</v>
      </c>
      <c r="J85" s="139">
        <f>I85*(1+Parâmetros!G11)</f>
        <v>0</v>
      </c>
    </row>
    <row r="86" spans="1:10" s="79" customFormat="1" ht="12.75">
      <c r="A86" s="137" t="s">
        <v>314</v>
      </c>
      <c r="B86" s="352">
        <v>23110000</v>
      </c>
      <c r="C86" s="138" t="s">
        <v>315</v>
      </c>
      <c r="D86" s="78">
        <f>3898.75</f>
        <v>3898.75</v>
      </c>
      <c r="E86" s="78">
        <f>6247.57</f>
        <v>6247.57</v>
      </c>
      <c r="F86" s="78">
        <f>1085.6</f>
        <v>1085.6</v>
      </c>
      <c r="G86" s="78">
        <f>175.9*2</f>
        <v>351.8</v>
      </c>
      <c r="H86" s="139">
        <f>(((E86*(1+Parâmetros!B11)*(1+Parâmetros!C11)*(1+Parâmetros!D11))+(F86*(1+Parâmetros!C11)*(1+Parâmetros!D11)+(G86*(1+Parâmetros!D11))))/3)*(1+Parâmetros!E11)</f>
        <v>3269.627460741292</v>
      </c>
      <c r="I86" s="139">
        <f>H86*(1+Parâmetros!F11)</f>
        <v>3374.2555394850133</v>
      </c>
      <c r="J86" s="139">
        <f>I86*(1+Parâmetros!G11)</f>
        <v>3475.4832056695636</v>
      </c>
    </row>
    <row r="87" spans="1:178" s="7" customFormat="1" ht="12.75">
      <c r="A87" s="134" t="s">
        <v>316</v>
      </c>
      <c r="B87" s="352">
        <v>24000000</v>
      </c>
      <c r="C87" s="135" t="s">
        <v>317</v>
      </c>
      <c r="D87" s="136">
        <f aca="true" t="shared" si="16" ref="D87:J87">D88+D89+D90+D91+D92+D93+D94</f>
        <v>1518965.8</v>
      </c>
      <c r="E87" s="136">
        <f t="shared" si="16"/>
        <v>828166.35</v>
      </c>
      <c r="F87" s="136">
        <f t="shared" si="16"/>
        <v>963515.27</v>
      </c>
      <c r="G87" s="136">
        <f t="shared" si="16"/>
        <v>2989825.3600000003</v>
      </c>
      <c r="H87" s="136">
        <f t="shared" si="16"/>
        <v>1891725.5128151914</v>
      </c>
      <c r="I87" s="136">
        <f t="shared" si="16"/>
        <v>1991305.943809783</v>
      </c>
      <c r="J87" s="136">
        <f t="shared" si="16"/>
        <v>2092066.0245665582</v>
      </c>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row>
    <row r="88" spans="1:178" ht="12.75">
      <c r="A88" s="137" t="s">
        <v>318</v>
      </c>
      <c r="B88" s="352">
        <v>24100000</v>
      </c>
      <c r="C88" s="138" t="s">
        <v>239</v>
      </c>
      <c r="D88" s="78">
        <f>1518965.8</f>
        <v>1518965.8</v>
      </c>
      <c r="E88" s="78">
        <f>728166.35</f>
        <v>728166.35</v>
      </c>
      <c r="F88" s="78">
        <f>913515.27</f>
        <v>913515.27</v>
      </c>
      <c r="G88" s="78">
        <f>881737.39*2</f>
        <v>1763474.78</v>
      </c>
      <c r="H88" s="139">
        <f>(((E88*(1+Parâmetros!B11)*(1+Parâmetros!C11)*(1+Parâmetros!D11))+(F88*(1+Parâmetros!C11)*(1+Parâmetros!D11)+(G88*(1+Parâmetros!D11))))/3)*(1+Parâmetros!E11)*(1+Parâmetros!E12)</f>
        <v>1363710.053871098</v>
      </c>
      <c r="I88" s="139">
        <f>H88*(1+Parâmetros!F11)*(1+Parâmetros!F12)</f>
        <v>1435495.7511068727</v>
      </c>
      <c r="J88" s="139">
        <f>I88*(1+Parâmetros!G11)*(1+Parâmetros!G12)</f>
        <v>1508131.8361128804</v>
      </c>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row>
    <row r="89" spans="1:178" ht="12.75">
      <c r="A89" s="137" t="s">
        <v>319</v>
      </c>
      <c r="B89" s="352">
        <v>24200000</v>
      </c>
      <c r="C89" s="138" t="s">
        <v>260</v>
      </c>
      <c r="D89" s="78"/>
      <c r="E89" s="78">
        <f>100000</f>
        <v>100000</v>
      </c>
      <c r="F89" s="78">
        <f>50000</f>
        <v>50000</v>
      </c>
      <c r="G89" s="78">
        <f>613175.29*2</f>
        <v>1226350.58</v>
      </c>
      <c r="H89" s="139">
        <f>(((E89*(1+Parâmetros!B11)*(1+Parâmetros!C11)*(1+Parâmetros!D11))+(F89*(1+Parâmetros!C11)*(1+Parâmetros!D11)+(G89*(1+Parâmetros!D11))))/3)*(1+Parâmetros!E11)*(1+Parâmetros!E12)</f>
        <v>528015.4589440933</v>
      </c>
      <c r="I89" s="139">
        <f>H89*(1+Parâmetros!F11)*(1+Parâmetros!F12)</f>
        <v>555810.1927029104</v>
      </c>
      <c r="J89" s="139">
        <f>I89*(1+Parâmetros!G11)*(1+Parâmetros!G12)</f>
        <v>583934.1884536777</v>
      </c>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row>
    <row r="90" spans="1:178" ht="12.75">
      <c r="A90" s="137" t="s">
        <v>320</v>
      </c>
      <c r="B90" s="352">
        <v>24300000</v>
      </c>
      <c r="C90" s="138" t="s">
        <v>281</v>
      </c>
      <c r="D90" s="78"/>
      <c r="E90" s="78"/>
      <c r="F90" s="78"/>
      <c r="G90" s="78"/>
      <c r="H90" s="139">
        <f>(((E90*(1+Parâmetros!B11)*(1+Parâmetros!C11)*(1+Parâmetros!D11))+(F90*(1+Parâmetros!C11)*(1+Parâmetros!D11)+(G90*(1+Parâmetros!D11))))/3)*(1+Parâmetros!E11)*(1+Parâmetros!E12)</f>
        <v>0</v>
      </c>
      <c r="I90" s="139">
        <f>H90*(1+Parâmetros!F11)*(1+Parâmetros!F12)</f>
        <v>0</v>
      </c>
      <c r="J90" s="139">
        <f>I90*(1+Parâmetros!G11)*(1+Parâmetros!G12)</f>
        <v>0</v>
      </c>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row>
    <row r="91" spans="1:178" ht="12.75">
      <c r="A91" s="137" t="s">
        <v>321</v>
      </c>
      <c r="B91" s="352">
        <v>24410000</v>
      </c>
      <c r="C91" s="138" t="s">
        <v>283</v>
      </c>
      <c r="D91" s="78"/>
      <c r="E91" s="78"/>
      <c r="F91" s="78"/>
      <c r="G91" s="78"/>
      <c r="H91" s="139">
        <f>(((E91*(1+Parâmetros!B11)*(1+Parâmetros!C11)*(1+Parâmetros!D11))+(F91*(1+Parâmetros!C11)*(1+Parâmetros!D11)+(G91*(1+Parâmetros!D11))))/3)*(1+Parâmetros!E11)*(1+Parâmetros!E12)</f>
        <v>0</v>
      </c>
      <c r="I91" s="139">
        <f>H91*(1+Parâmetros!F11)*(1+Parâmetros!F12)</f>
        <v>0</v>
      </c>
      <c r="J91" s="139">
        <f>I91*(1+Parâmetros!G11)*(1+Parâmetros!G12)</f>
        <v>0</v>
      </c>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row>
    <row r="92" spans="1:178" ht="12.75">
      <c r="A92" s="137" t="s">
        <v>322</v>
      </c>
      <c r="B92" s="352">
        <v>24510100</v>
      </c>
      <c r="C92" s="138" t="s">
        <v>284</v>
      </c>
      <c r="D92" s="78"/>
      <c r="E92" s="78"/>
      <c r="F92" s="78"/>
      <c r="G92" s="78"/>
      <c r="H92" s="139">
        <f>(((E92*(1+Parâmetros!B11)*(1+Parâmetros!C11)*(1+Parâmetros!D11))+(F92*(1+Parâmetros!C11)*(1+Parâmetros!D11)+(G92*(1+Parâmetros!D11))))/3)*(1+Parâmetros!E11)*(1+Parâmetros!E12)</f>
        <v>0</v>
      </c>
      <c r="I92" s="139">
        <f>H92:H93*(1+Parâmetros!F11)*(1+Parâmetros!F12)</f>
        <v>0</v>
      </c>
      <c r="J92" s="139">
        <f>I92:I93*(1+Parâmetros!G11)*(1+Parâmetros!G12)</f>
        <v>0</v>
      </c>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row>
    <row r="93" spans="1:178" ht="12.75">
      <c r="A93" s="137" t="s">
        <v>323</v>
      </c>
      <c r="B93" s="352">
        <v>24610000</v>
      </c>
      <c r="C93" s="138" t="s">
        <v>286</v>
      </c>
      <c r="D93" s="78"/>
      <c r="E93" s="78"/>
      <c r="F93" s="78"/>
      <c r="G93" s="78"/>
      <c r="H93" s="139">
        <f>(((E93*(1+Parâmetros!B11)*(1+Parâmetros!C11)*(1+Parâmetros!D11))+(F93*(1+Parâmetros!C11)*(1+Parâmetros!D11)+(G93*(1+Parâmetros!D11))))/3)*(1+Parâmetros!E11)*(1+Parâmetros!E12)</f>
        <v>0</v>
      </c>
      <c r="I93" s="139">
        <f>H93*(1+Parâmetros!F11)*(1+Parâmetros!F12)</f>
        <v>0</v>
      </c>
      <c r="J93" s="139">
        <f>I93*(1+Parâmetros!G11)*(1+Parâmetros!G12)</f>
        <v>0</v>
      </c>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row>
    <row r="94" spans="1:178" ht="12.75">
      <c r="A94" s="137" t="s">
        <v>324</v>
      </c>
      <c r="B94" s="352">
        <v>24910000</v>
      </c>
      <c r="C94" s="138" t="s">
        <v>288</v>
      </c>
      <c r="D94" s="78"/>
      <c r="E94" s="78"/>
      <c r="F94" s="78"/>
      <c r="G94" s="78"/>
      <c r="H94" s="139">
        <f>(((E94*(1+Parâmetros!B11)*(1+Parâmetros!C11)*(1+Parâmetros!D11))+(F94*(1+Parâmetros!C11)*(1+Parâmetros!D11)+(G94*(1+Parâmetros!D11))))/3)*(1+Parâmetros!E11)*(1+Parâmetros!E12)</f>
        <v>0</v>
      </c>
      <c r="I94" s="139">
        <f>H94*(1+Parâmetros!F11)*(1+Parâmetros!F12)</f>
        <v>0</v>
      </c>
      <c r="J94" s="139">
        <f>I94*(1+Parâmetros!G11)*(1+Parâmetros!G12)</f>
        <v>0</v>
      </c>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row>
    <row r="95" spans="1:178" s="7" customFormat="1" ht="12.75">
      <c r="A95" s="134" t="s">
        <v>325</v>
      </c>
      <c r="B95" s="352">
        <v>29000000</v>
      </c>
      <c r="C95" s="135" t="s">
        <v>326</v>
      </c>
      <c r="D95" s="136">
        <f aca="true" t="shared" si="17" ref="D95:J95">D96+D97</f>
        <v>0</v>
      </c>
      <c r="E95" s="136">
        <f t="shared" si="17"/>
        <v>0</v>
      </c>
      <c r="F95" s="136">
        <f t="shared" si="17"/>
        <v>47602.39</v>
      </c>
      <c r="G95" s="136">
        <f t="shared" si="17"/>
        <v>151721.2</v>
      </c>
      <c r="H95" s="136">
        <f t="shared" si="17"/>
        <v>76415.2497396172</v>
      </c>
      <c r="I95" s="136">
        <f t="shared" si="17"/>
        <v>78860.53773128495</v>
      </c>
      <c r="J95" s="136">
        <f t="shared" si="17"/>
        <v>81226.3538632235</v>
      </c>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c r="BZ95" s="76"/>
      <c r="CA95" s="76"/>
      <c r="CB95" s="76"/>
      <c r="CC95" s="76"/>
      <c r="CD95" s="76"/>
      <c r="CE95" s="76"/>
      <c r="CF95" s="76"/>
      <c r="CG95" s="76"/>
      <c r="CH95" s="76"/>
      <c r="CI95" s="76"/>
      <c r="CJ95" s="76"/>
      <c r="CK95" s="76"/>
      <c r="CL95" s="76"/>
      <c r="CM95" s="76"/>
      <c r="CN95" s="76"/>
      <c r="CO95" s="76"/>
      <c r="CP95" s="76"/>
      <c r="CQ95" s="76"/>
      <c r="CR95" s="76"/>
      <c r="CS95" s="76"/>
      <c r="CT95" s="76"/>
      <c r="CU95" s="76"/>
      <c r="CV95" s="76"/>
      <c r="CW95" s="76"/>
      <c r="CX95" s="76"/>
      <c r="CY95" s="76"/>
      <c r="CZ95" s="76"/>
      <c r="DA95" s="76"/>
      <c r="DB95" s="76"/>
      <c r="DC95" s="76"/>
      <c r="DD95" s="76"/>
      <c r="DE95" s="76"/>
      <c r="DF95" s="76"/>
      <c r="DG95" s="76"/>
      <c r="DH95" s="76"/>
      <c r="DI95" s="76"/>
      <c r="DJ95" s="76"/>
      <c r="DK95" s="76"/>
      <c r="DL95" s="76"/>
      <c r="DM95" s="76"/>
      <c r="DN95" s="76"/>
      <c r="DO95" s="76"/>
      <c r="DP95" s="76"/>
      <c r="DQ95" s="76"/>
      <c r="DR95" s="76"/>
      <c r="DS95" s="76"/>
      <c r="DT95" s="76"/>
      <c r="DU95" s="76"/>
      <c r="DV95" s="76"/>
      <c r="DW95" s="76"/>
      <c r="DX95" s="76"/>
      <c r="DY95" s="76"/>
      <c r="DZ95" s="76"/>
      <c r="EA95" s="76"/>
      <c r="EB95" s="76"/>
      <c r="EC95" s="76"/>
      <c r="ED95" s="76"/>
      <c r="EE95" s="76"/>
      <c r="EF95" s="76"/>
      <c r="EG95" s="76"/>
      <c r="EH95" s="76"/>
      <c r="EI95" s="76"/>
      <c r="EJ95" s="76"/>
      <c r="EK95" s="76"/>
      <c r="EL95" s="76"/>
      <c r="EM95" s="76"/>
      <c r="EN95" s="76"/>
      <c r="EO95" s="76"/>
      <c r="EP95" s="76"/>
      <c r="EQ95" s="76"/>
      <c r="ER95" s="76"/>
      <c r="ES95" s="76"/>
      <c r="ET95" s="76"/>
      <c r="EU95" s="76"/>
      <c r="EV95" s="76"/>
      <c r="EW95" s="76"/>
      <c r="EX95" s="76"/>
      <c r="EY95" s="76"/>
      <c r="EZ95" s="76"/>
      <c r="FA95" s="76"/>
      <c r="FB95" s="76"/>
      <c r="FC95" s="76"/>
      <c r="FD95" s="76"/>
      <c r="FE95" s="76"/>
      <c r="FF95" s="76"/>
      <c r="FG95" s="76"/>
      <c r="FH95" s="76"/>
      <c r="FI95" s="76"/>
      <c r="FJ95" s="76"/>
      <c r="FK95" s="76"/>
      <c r="FL95" s="76"/>
      <c r="FM95" s="76"/>
      <c r="FN95" s="76"/>
      <c r="FO95" s="76"/>
      <c r="FP95" s="76"/>
      <c r="FQ95" s="76"/>
      <c r="FR95" s="76"/>
      <c r="FS95" s="76"/>
      <c r="FT95" s="76"/>
      <c r="FU95" s="76"/>
      <c r="FV95" s="76"/>
    </row>
    <row r="96" spans="1:178" ht="12.75">
      <c r="A96" s="137" t="s">
        <v>327</v>
      </c>
      <c r="B96" s="352">
        <v>29999900</v>
      </c>
      <c r="C96" s="140" t="s">
        <v>328</v>
      </c>
      <c r="D96" s="78">
        <v>0</v>
      </c>
      <c r="E96" s="78">
        <v>0</v>
      </c>
      <c r="F96" s="78">
        <v>0</v>
      </c>
      <c r="G96" s="78">
        <v>0</v>
      </c>
      <c r="H96" s="139">
        <f>(((E96*(1+Parâmetros!B11)*(1+Parâmetros!C11)*(1+Parâmetros!D11))+(F96*(1+Parâmetros!C11)*(1+Parâmetros!D11)+(G96*(1+Parâmetros!D11))))/3)*(1+Parâmetros!E11)</f>
        <v>0</v>
      </c>
      <c r="I96" s="139">
        <f>H96*(1+Parâmetros!F11)</f>
        <v>0</v>
      </c>
      <c r="J96" s="139">
        <f>I96*(1+Parâmetros!G11)</f>
        <v>0</v>
      </c>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row>
    <row r="97" spans="1:178" ht="12.75">
      <c r="A97" s="137" t="s">
        <v>329</v>
      </c>
      <c r="B97" s="352">
        <v>29999900</v>
      </c>
      <c r="C97" s="140" t="s">
        <v>330</v>
      </c>
      <c r="D97" s="78"/>
      <c r="E97" s="78"/>
      <c r="F97" s="78">
        <f>47602.39</f>
        <v>47602.39</v>
      </c>
      <c r="G97" s="78">
        <f>75860.6*2</f>
        <v>151721.2</v>
      </c>
      <c r="H97" s="139">
        <f>(((E97*(1+Parâmetros!B11)*(1+Parâmetros!C11)*(1+Parâmetros!D11))+(F97*(1+Parâmetros!C11)*(1+Parâmetros!D11)+(G97*(1+Parâmetros!D11))))/3)*(1+Parâmetros!E11)</f>
        <v>76415.2497396172</v>
      </c>
      <c r="I97" s="139">
        <f>H97*(1+Parâmetros!F11)</f>
        <v>78860.53773128495</v>
      </c>
      <c r="J97" s="139">
        <f>I97*(1+Parâmetros!G11)</f>
        <v>81226.3538632235</v>
      </c>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row>
    <row r="98" spans="1:11" s="82" customFormat="1" ht="18">
      <c r="A98" s="296" t="s">
        <v>331</v>
      </c>
      <c r="B98" s="367">
        <v>70000000</v>
      </c>
      <c r="C98" s="135" t="s">
        <v>511</v>
      </c>
      <c r="D98" s="136">
        <f aca="true" t="shared" si="18" ref="D98:J98">D99+D100</f>
        <v>12438685.31</v>
      </c>
      <c r="E98" s="136">
        <f t="shared" si="18"/>
        <v>11424304.28</v>
      </c>
      <c r="F98" s="136">
        <f t="shared" si="18"/>
        <v>27409106.68</v>
      </c>
      <c r="G98" s="136">
        <f t="shared" si="18"/>
        <v>30231128.68</v>
      </c>
      <c r="H98" s="136">
        <f t="shared" si="18"/>
        <v>29555780.034174506</v>
      </c>
      <c r="I98" s="136">
        <f t="shared" si="18"/>
        <v>32617700.198217966</v>
      </c>
      <c r="J98" s="136">
        <f t="shared" si="18"/>
        <v>35690258.833313085</v>
      </c>
      <c r="K98" s="397">
        <f>27409106.68-F98</f>
        <v>0</v>
      </c>
    </row>
    <row r="99" spans="1:10" s="82" customFormat="1" ht="18">
      <c r="A99" s="141" t="s">
        <v>331</v>
      </c>
      <c r="B99" s="366">
        <v>70000000</v>
      </c>
      <c r="C99" s="138" t="s">
        <v>544</v>
      </c>
      <c r="D99" s="78">
        <f>12438685.31-D100</f>
        <v>11604018.93</v>
      </c>
      <c r="E99" s="78">
        <f>11424304.28-E100</f>
        <v>9906542.59</v>
      </c>
      <c r="F99" s="78">
        <f>27409106.68-F100</f>
        <v>25782743.85</v>
      </c>
      <c r="G99" s="78">
        <f>(16003002.91-G100)*2</f>
        <v>28456251.54</v>
      </c>
      <c r="H99" s="139">
        <f>(((E99*(1+Parâmetros!B11)*(1+Parâmetros!C11)*(1+Parâmetros!D11))+(F99*(1+Parâmetros!C11)*(1+Parâmetros!D11)+(G99*(1+Parâmetros!D11))))/3)*(1+Parâmetros!E11)*(1+Parâmetros!E13)*(1+Parâmetros!E18)</f>
        <v>27567529.939192303</v>
      </c>
      <c r="I99" s="139">
        <f>H99*(1+Parâmetros!F11)*(1+Parâmetros!F13)*(1+Parâmetros!F18)</f>
        <v>30565826.10019633</v>
      </c>
      <c r="J99" s="139">
        <f>I99*(1+Parâmetros!G11)*(1+Parâmetros!G13)*(1+Parâmetros!G18)</f>
        <v>33576828.512350805</v>
      </c>
    </row>
    <row r="100" spans="1:10" s="82" customFormat="1" ht="18">
      <c r="A100" s="141" t="s">
        <v>331</v>
      </c>
      <c r="B100" s="366">
        <v>70000000</v>
      </c>
      <c r="C100" s="138" t="s">
        <v>545</v>
      </c>
      <c r="D100" s="78">
        <f>834666.38</f>
        <v>834666.38</v>
      </c>
      <c r="E100" s="78">
        <f>1517761.69</f>
        <v>1517761.69</v>
      </c>
      <c r="F100" s="78">
        <f>1626362.83</f>
        <v>1626362.83</v>
      </c>
      <c r="G100" s="78">
        <f>(887438.57)*2</f>
        <v>1774877.14</v>
      </c>
      <c r="H100" s="139">
        <f>(((E100*(1+Parâmetros!B11)*(1+Parâmetros!C11)*(1+Parâmetros!D11))+(F100*(1+Parâmetros!C11)*(1+Parâmetros!D11)+(G100*(1+Parâmetros!D11))))/3)*(1+Parâmetros!E11)</f>
        <v>1988250.0949822017</v>
      </c>
      <c r="I100" s="139">
        <f>H100*(1+Parâmetros!F11)</f>
        <v>2051874.0980216323</v>
      </c>
      <c r="J100" s="139">
        <f>I100*(1+Parâmetros!G11)</f>
        <v>2113430.3209622814</v>
      </c>
    </row>
    <row r="101" spans="1:10" s="82" customFormat="1" ht="18">
      <c r="A101" s="134" t="s">
        <v>332</v>
      </c>
      <c r="B101" s="354">
        <v>80000000</v>
      </c>
      <c r="C101" s="135" t="s">
        <v>333</v>
      </c>
      <c r="D101" s="136">
        <f aca="true" t="shared" si="19" ref="D101:J101">D102+D103</f>
        <v>235344.03</v>
      </c>
      <c r="E101" s="136">
        <f t="shared" si="19"/>
        <v>49239.41</v>
      </c>
      <c r="F101" s="136">
        <f t="shared" si="19"/>
        <v>22071.49</v>
      </c>
      <c r="G101" s="136">
        <f t="shared" si="19"/>
        <v>0</v>
      </c>
      <c r="H101" s="136">
        <f t="shared" si="19"/>
        <v>30300.043915313196</v>
      </c>
      <c r="I101" s="136">
        <f t="shared" si="19"/>
        <v>31269.64532060322</v>
      </c>
      <c r="J101" s="136">
        <f t="shared" si="19"/>
        <v>32207.734680221318</v>
      </c>
    </row>
    <row r="102" spans="1:10" s="82" customFormat="1" ht="18">
      <c r="A102" s="137" t="s">
        <v>332</v>
      </c>
      <c r="B102" s="352">
        <v>80000000</v>
      </c>
      <c r="C102" s="138" t="s">
        <v>546</v>
      </c>
      <c r="D102" s="78">
        <v>235344.03</v>
      </c>
      <c r="E102" s="78">
        <f>49239.41</f>
        <v>49239.41</v>
      </c>
      <c r="F102" s="78">
        <f>22071.49</f>
        <v>22071.49</v>
      </c>
      <c r="G102" s="78"/>
      <c r="H102" s="139">
        <f>(((E102*(1+Parâmetros!B11)*(1+Parâmetros!C11)*(1+Parâmetros!D11))+(F102*(1+Parâmetros!C11)*(1+Parâmetros!D11)+(G102*(1+Parâmetros!D11))))/3)*(1+Parâmetros!E11)</f>
        <v>30300.043915313196</v>
      </c>
      <c r="I102" s="139">
        <f>H102*(1+Parâmetros!F11)</f>
        <v>31269.64532060322</v>
      </c>
      <c r="J102" s="139">
        <f>I102*(1+Parâmetros!G11)</f>
        <v>32207.734680221318</v>
      </c>
    </row>
    <row r="103" spans="1:10" s="82" customFormat="1" ht="18">
      <c r="A103" s="137" t="s">
        <v>332</v>
      </c>
      <c r="B103" s="352">
        <v>80000000</v>
      </c>
      <c r="C103" s="138" t="s">
        <v>547</v>
      </c>
      <c r="D103" s="78"/>
      <c r="E103" s="78"/>
      <c r="F103" s="78"/>
      <c r="G103" s="78"/>
      <c r="H103" s="139">
        <f>(((E103*(1+Parâmetros!B11)*(1+Parâmetros!C11)*(1+Parâmetros!D11))+(F103*(1+Parâmetros!C11)*(1+Parâmetros!D11)+(G103*(1+Parâmetros!D11))))/3)*(1+Parâmetros!E11)</f>
        <v>0</v>
      </c>
      <c r="I103" s="139">
        <f>H103*(1+Parâmetros!F11)</f>
        <v>0</v>
      </c>
      <c r="J103" s="139">
        <f>I103*(1+Parâmetros!G11)</f>
        <v>0</v>
      </c>
    </row>
    <row r="104" spans="1:178" s="10" customFormat="1" ht="30.75" customHeight="1">
      <c r="A104" s="134" t="s">
        <v>334</v>
      </c>
      <c r="B104" s="354" t="s">
        <v>635</v>
      </c>
      <c r="C104" s="135" t="s">
        <v>508</v>
      </c>
      <c r="D104" s="136">
        <f aca="true" t="shared" si="20" ref="D104:J104">D105+D106+D107+D108</f>
        <v>-11525448.36</v>
      </c>
      <c r="E104" s="136">
        <f t="shared" si="20"/>
        <v>-11182808.172000002</v>
      </c>
      <c r="F104" s="136">
        <f t="shared" si="20"/>
        <v>-15189649.462</v>
      </c>
      <c r="G104" s="136">
        <f t="shared" si="20"/>
        <v>-14798956.630000003</v>
      </c>
      <c r="H104" s="136">
        <f t="shared" si="20"/>
        <v>-16894133.983613066</v>
      </c>
      <c r="I104" s="136">
        <f t="shared" si="20"/>
        <v>-17302911.984508164</v>
      </c>
      <c r="J104" s="136">
        <f t="shared" si="20"/>
        <v>-17740136.18286858</v>
      </c>
      <c r="K104" s="396"/>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c r="DP104" s="95"/>
      <c r="DQ104" s="95"/>
      <c r="DR104" s="95"/>
      <c r="DS104" s="95"/>
      <c r="DT104" s="95"/>
      <c r="DU104" s="95"/>
      <c r="DV104" s="95"/>
      <c r="DW104" s="95"/>
      <c r="DX104" s="95"/>
      <c r="DY104" s="95"/>
      <c r="DZ104" s="95"/>
      <c r="EA104" s="95"/>
      <c r="EB104" s="95"/>
      <c r="EC104" s="95"/>
      <c r="ED104" s="95"/>
      <c r="EE104" s="95"/>
      <c r="EF104" s="95"/>
      <c r="EG104" s="95"/>
      <c r="EH104" s="95"/>
      <c r="EI104" s="95"/>
      <c r="EJ104" s="95"/>
      <c r="EK104" s="95"/>
      <c r="EL104" s="95"/>
      <c r="EM104" s="95"/>
      <c r="EN104" s="95"/>
      <c r="EO104" s="95"/>
      <c r="EP104" s="95"/>
      <c r="EQ104" s="95"/>
      <c r="ER104" s="95"/>
      <c r="ES104" s="95"/>
      <c r="ET104" s="95"/>
      <c r="EU104" s="95"/>
      <c r="EV104" s="95"/>
      <c r="EW104" s="95"/>
      <c r="EX104" s="95"/>
      <c r="EY104" s="95"/>
      <c r="EZ104" s="95"/>
      <c r="FA104" s="95"/>
      <c r="FB104" s="95"/>
      <c r="FC104" s="95"/>
      <c r="FD104" s="95"/>
      <c r="FE104" s="95"/>
      <c r="FF104" s="95"/>
      <c r="FG104" s="95"/>
      <c r="FH104" s="95"/>
      <c r="FI104" s="95"/>
      <c r="FJ104" s="95"/>
      <c r="FK104" s="95"/>
      <c r="FL104" s="95"/>
      <c r="FM104" s="95"/>
      <c r="FN104" s="95"/>
      <c r="FO104" s="95"/>
      <c r="FP104" s="95"/>
      <c r="FQ104" s="95"/>
      <c r="FR104" s="95"/>
      <c r="FS104" s="95"/>
      <c r="FT104" s="95"/>
      <c r="FU104" s="95"/>
      <c r="FV104" s="95"/>
    </row>
    <row r="105" spans="1:178" ht="12.75">
      <c r="A105" s="137" t="s">
        <v>335</v>
      </c>
      <c r="B105" s="352" t="s">
        <v>636</v>
      </c>
      <c r="C105" s="138" t="s">
        <v>509</v>
      </c>
      <c r="D105" s="40"/>
      <c r="E105" s="40"/>
      <c r="F105" s="40"/>
      <c r="G105" s="40"/>
      <c r="H105" s="139">
        <f>(((E105*(1+Parâmetros!B11)*(1+Parâmetros!C11)*(1+Parâmetros!D11))+(F105*(1+Parâmetros!C11)*(1+Parâmetros!D11)+(G105*(1+Parâmetros!D11))))/3)*(1+Parâmetros!E11)</f>
        <v>0</v>
      </c>
      <c r="I105" s="139">
        <f>H105*(1+Parâmetros!F11)</f>
        <v>0</v>
      </c>
      <c r="J105" s="139">
        <f>I105*(1+Parâmetros!G11)</f>
        <v>0</v>
      </c>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row>
    <row r="106" spans="1:178" ht="12.75">
      <c r="A106" s="137" t="s">
        <v>336</v>
      </c>
      <c r="B106" s="352" t="s">
        <v>637</v>
      </c>
      <c r="C106" s="138" t="s">
        <v>337</v>
      </c>
      <c r="D106" s="143">
        <f aca="true" t="shared" si="21" ref="D106:J106">-((D41+D44+D49+D53+D54+D55)*0.2)</f>
        <v>-10983160.969999999</v>
      </c>
      <c r="E106" s="143">
        <f t="shared" si="21"/>
        <v>-10963604.022000002</v>
      </c>
      <c r="F106" s="143">
        <f t="shared" si="21"/>
        <v>-13829207.132</v>
      </c>
      <c r="G106" s="143">
        <f t="shared" si="21"/>
        <v>-14493498.330000002</v>
      </c>
      <c r="H106" s="143">
        <f t="shared" si="21"/>
        <v>-16124815.781973941</v>
      </c>
      <c r="I106" s="143">
        <f t="shared" si="21"/>
        <v>-16508975.600416586</v>
      </c>
      <c r="J106" s="143">
        <f t="shared" si="21"/>
        <v>-16922381.707254257</v>
      </c>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row>
    <row r="107" spans="1:178" ht="25.5">
      <c r="A107" s="137" t="s">
        <v>338</v>
      </c>
      <c r="B107" s="352" t="s">
        <v>638</v>
      </c>
      <c r="C107" s="138" t="s">
        <v>555</v>
      </c>
      <c r="D107" s="78">
        <f>0.83-152768.53-41980.7-302492.18-484569.95+439523.14</f>
        <v>-542287.39</v>
      </c>
      <c r="E107" s="78">
        <f>-(160064.97+23670.73+89476.05+347.27+757940.8)+(60494.84+751800.83)</f>
        <v>-219204.15000000014</v>
      </c>
      <c r="F107" s="78">
        <f>-(169541.33+95935.62+1066350.83+904120.09+328.41+1*19373.83)+895207.78</f>
        <v>-1360442.3300000003</v>
      </c>
      <c r="G107" s="78">
        <f>-(158492.02+12131.46+134218.16+2400)+1783.34</f>
        <v>-305458.3</v>
      </c>
      <c r="H107" s="139">
        <f>(((E107*(1+Parâmetros!B11)*(1+Parâmetros!C11)*(1+Parâmetros!D11))+(F107*(1+Parâmetros!C11)*(1+Parâmetros!D11)+(G107*(1+Parâmetros!D11))))/3)*(1+Parâmetros!E11)</f>
        <v>-769318.2016391245</v>
      </c>
      <c r="I107" s="139">
        <f>H107*(1+Parâmetros!F11)</f>
        <v>-793936.3840915766</v>
      </c>
      <c r="J107" s="139">
        <f>I107*(1+Parâmetros!G11)</f>
        <v>-817754.4756143239</v>
      </c>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row>
    <row r="108" spans="1:178" ht="12.75">
      <c r="A108" s="137" t="s">
        <v>339</v>
      </c>
      <c r="B108" s="352" t="s">
        <v>639</v>
      </c>
      <c r="C108" s="138" t="s">
        <v>510</v>
      </c>
      <c r="D108" s="78"/>
      <c r="E108" s="78"/>
      <c r="F108" s="78"/>
      <c r="G108" s="78"/>
      <c r="H108" s="139">
        <f>(((E108*(1+Parâmetros!B11)*(1+Parâmetros!C11)*(1+Parâmetros!D11))+(F108*(1+Parâmetros!C11)*(1+Parâmetros!D11)+(G108*(1+Parâmetros!D11))))/3)*(1+Parâmetros!E11)</f>
        <v>0</v>
      </c>
      <c r="I108" s="139">
        <f>H108*(1+Parâmetros!F11)</f>
        <v>0</v>
      </c>
      <c r="J108" s="139">
        <f>I108*(1+Parâmetros!G11)</f>
        <v>0</v>
      </c>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row>
    <row r="109" spans="1:178" ht="12.75">
      <c r="A109" s="144"/>
      <c r="B109" s="356"/>
      <c r="C109" s="145"/>
      <c r="D109" s="142"/>
      <c r="E109" s="142"/>
      <c r="F109" s="142"/>
      <c r="G109" s="142"/>
      <c r="H109" s="139"/>
      <c r="I109" s="139"/>
      <c r="J109" s="13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row>
    <row r="110" spans="1:178" s="9" customFormat="1" ht="25.5" customHeight="1">
      <c r="A110" s="146"/>
      <c r="B110" s="363"/>
      <c r="C110" s="147" t="s">
        <v>421</v>
      </c>
      <c r="D110" s="143">
        <f aca="true" t="shared" si="22" ref="D110:J110">D8+D79+D98+D101+D104</f>
        <v>116038290.52000001</v>
      </c>
      <c r="E110" s="143">
        <f t="shared" si="22"/>
        <v>123865799.89799999</v>
      </c>
      <c r="F110" s="143">
        <f t="shared" si="22"/>
        <v>153888659.42800003</v>
      </c>
      <c r="G110" s="143">
        <f t="shared" si="22"/>
        <v>171629043.71000004</v>
      </c>
      <c r="H110" s="143">
        <f t="shared" si="22"/>
        <v>186275606.3613263</v>
      </c>
      <c r="I110" s="143">
        <f t="shared" si="22"/>
        <v>195051930.24407208</v>
      </c>
      <c r="J110" s="143">
        <f t="shared" si="22"/>
        <v>204478973.65180966</v>
      </c>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96"/>
      <c r="CL110" s="96"/>
      <c r="CM110" s="96"/>
      <c r="CN110" s="96"/>
      <c r="CO110" s="96"/>
      <c r="CP110" s="96"/>
      <c r="CQ110" s="96"/>
      <c r="CR110" s="96"/>
      <c r="CS110" s="96"/>
      <c r="CT110" s="96"/>
      <c r="CU110" s="96"/>
      <c r="CV110" s="96"/>
      <c r="CW110" s="96"/>
      <c r="CX110" s="96"/>
      <c r="CY110" s="96"/>
      <c r="CZ110" s="96"/>
      <c r="DA110" s="96"/>
      <c r="DB110" s="96"/>
      <c r="DC110" s="96"/>
      <c r="DD110" s="96"/>
      <c r="DE110" s="96"/>
      <c r="DF110" s="96"/>
      <c r="DG110" s="96"/>
      <c r="DH110" s="96"/>
      <c r="DI110" s="96"/>
      <c r="DJ110" s="96"/>
      <c r="DK110" s="96"/>
      <c r="DL110" s="96"/>
      <c r="DM110" s="96"/>
      <c r="DN110" s="96"/>
      <c r="DO110" s="96"/>
      <c r="DP110" s="96"/>
      <c r="DQ110" s="96"/>
      <c r="DR110" s="96"/>
      <c r="DS110" s="96"/>
      <c r="DT110" s="96"/>
      <c r="DU110" s="96"/>
      <c r="DV110" s="96"/>
      <c r="DW110" s="96"/>
      <c r="DX110" s="96"/>
      <c r="DY110" s="96"/>
      <c r="DZ110" s="96"/>
      <c r="EA110" s="96"/>
      <c r="EB110" s="96"/>
      <c r="EC110" s="96"/>
      <c r="ED110" s="96"/>
      <c r="EE110" s="96"/>
      <c r="EF110" s="96"/>
      <c r="EG110" s="96"/>
      <c r="EH110" s="96"/>
      <c r="EI110" s="96"/>
      <c r="EJ110" s="96"/>
      <c r="EK110" s="96"/>
      <c r="EL110" s="96"/>
      <c r="EM110" s="96"/>
      <c r="EN110" s="96"/>
      <c r="EO110" s="96"/>
      <c r="EP110" s="96"/>
      <c r="EQ110" s="96"/>
      <c r="ER110" s="96"/>
      <c r="ES110" s="96"/>
      <c r="ET110" s="96"/>
      <c r="EU110" s="96"/>
      <c r="EV110" s="96"/>
      <c r="EW110" s="96"/>
      <c r="EX110" s="96"/>
      <c r="EY110" s="96"/>
      <c r="EZ110" s="96"/>
      <c r="FA110" s="96"/>
      <c r="FB110" s="96"/>
      <c r="FC110" s="96"/>
      <c r="FD110" s="96"/>
      <c r="FE110" s="96"/>
      <c r="FF110" s="96"/>
      <c r="FG110" s="96"/>
      <c r="FH110" s="96"/>
      <c r="FI110" s="96"/>
      <c r="FJ110" s="96"/>
      <c r="FK110" s="96"/>
      <c r="FL110" s="96"/>
      <c r="FM110" s="96"/>
      <c r="FN110" s="96"/>
      <c r="FO110" s="96"/>
      <c r="FP110" s="96"/>
      <c r="FQ110" s="96"/>
      <c r="FR110" s="96"/>
      <c r="FS110" s="96"/>
      <c r="FT110" s="96"/>
      <c r="FU110" s="96"/>
      <c r="FV110" s="96"/>
    </row>
    <row r="111" spans="1:178" ht="15.75">
      <c r="A111" s="53"/>
      <c r="B111" s="364"/>
      <c r="C111" s="53"/>
      <c r="D111" s="383">
        <f>116038290.52-D110</f>
        <v>0</v>
      </c>
      <c r="E111" s="383">
        <f>123865799.9-E110</f>
        <v>0.0020000189542770386</v>
      </c>
      <c r="F111" s="393">
        <f>153888659.43-F110</f>
        <v>0.001999974250793457</v>
      </c>
      <c r="G111" s="383"/>
      <c r="H111" s="328"/>
      <c r="I111" s="99"/>
      <c r="J111" s="9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row>
    <row r="112" spans="1:178" ht="15.75">
      <c r="A112" s="644" t="str">
        <f>Parâmetros!A7</f>
        <v>Município de : Caçapava do Sul / RS.</v>
      </c>
      <c r="B112" s="644"/>
      <c r="C112" s="642"/>
      <c r="D112" s="642"/>
      <c r="E112" s="642"/>
      <c r="F112" s="642"/>
      <c r="G112" s="642"/>
      <c r="H112" s="642"/>
      <c r="I112" s="642"/>
      <c r="J112" s="642"/>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row>
    <row r="113" spans="1:178" ht="15.75">
      <c r="A113" s="643" t="str">
        <f>Parâmetros!A8</f>
        <v>LEI DE DIRETRIZES ORÇAMENTÁRIAS  PARA 2023</v>
      </c>
      <c r="B113" s="643"/>
      <c r="C113" s="642"/>
      <c r="D113" s="642"/>
      <c r="E113" s="642"/>
      <c r="F113" s="642"/>
      <c r="G113" s="642"/>
      <c r="H113" s="642"/>
      <c r="I113" s="642"/>
      <c r="J113" s="642"/>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row>
    <row r="114" spans="1:178" ht="15.75">
      <c r="A114" s="641" t="s">
        <v>542</v>
      </c>
      <c r="B114" s="641"/>
      <c r="C114" s="642"/>
      <c r="D114" s="642"/>
      <c r="E114" s="642"/>
      <c r="F114" s="642"/>
      <c r="G114" s="642"/>
      <c r="H114" s="642"/>
      <c r="I114" s="642"/>
      <c r="J114" s="642"/>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row>
    <row r="115" spans="1:178" ht="15">
      <c r="A115" s="53"/>
      <c r="B115" s="364"/>
      <c r="C115" s="53"/>
      <c r="D115" s="54"/>
      <c r="E115" s="54"/>
      <c r="F115" s="54"/>
      <c r="G115" s="54"/>
      <c r="H115" s="99"/>
      <c r="I115" s="99"/>
      <c r="J115" s="19" t="s">
        <v>55</v>
      </c>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row>
    <row r="116" spans="1:178" s="1" customFormat="1" ht="15.75">
      <c r="A116" s="651" t="s">
        <v>642</v>
      </c>
      <c r="B116" s="652"/>
      <c r="C116" s="655" t="s">
        <v>108</v>
      </c>
      <c r="D116" s="149" t="s">
        <v>419</v>
      </c>
      <c r="E116" s="149" t="s">
        <v>419</v>
      </c>
      <c r="F116" s="149" t="s">
        <v>419</v>
      </c>
      <c r="G116" s="150" t="s">
        <v>420</v>
      </c>
      <c r="H116" s="150" t="s">
        <v>12</v>
      </c>
      <c r="I116" s="151" t="s">
        <v>12</v>
      </c>
      <c r="J116" s="152" t="s">
        <v>12</v>
      </c>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c r="FU116" s="91"/>
      <c r="FV116" s="91"/>
    </row>
    <row r="117" spans="1:178" s="1" customFormat="1" ht="27.75" customHeight="1">
      <c r="A117" s="653"/>
      <c r="B117" s="654"/>
      <c r="C117" s="656"/>
      <c r="D117" s="153">
        <f>D7</f>
        <v>2019</v>
      </c>
      <c r="E117" s="154">
        <f aca="true" t="shared" si="23" ref="E117:J117">D117+1</f>
        <v>2020</v>
      </c>
      <c r="F117" s="154">
        <f t="shared" si="23"/>
        <v>2021</v>
      </c>
      <c r="G117" s="154">
        <f t="shared" si="23"/>
        <v>2022</v>
      </c>
      <c r="H117" s="154">
        <f t="shared" si="23"/>
        <v>2023</v>
      </c>
      <c r="I117" s="154">
        <f t="shared" si="23"/>
        <v>2024</v>
      </c>
      <c r="J117" s="154">
        <f t="shared" si="23"/>
        <v>2025</v>
      </c>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c r="CU117" s="91"/>
      <c r="CV117" s="91"/>
      <c r="CW117" s="91"/>
      <c r="CX117" s="91"/>
      <c r="CY117" s="91"/>
      <c r="CZ117" s="91"/>
      <c r="DA117" s="91"/>
      <c r="DB117" s="91"/>
      <c r="DC117" s="91"/>
      <c r="DD117" s="91"/>
      <c r="DE117" s="91"/>
      <c r="DF117" s="91"/>
      <c r="DG117" s="91"/>
      <c r="DH117" s="91"/>
      <c r="DI117" s="91"/>
      <c r="DJ117" s="91"/>
      <c r="DK117" s="91"/>
      <c r="DL117" s="91"/>
      <c r="DM117" s="91"/>
      <c r="DN117" s="91"/>
      <c r="DO117" s="91"/>
      <c r="DP117" s="91"/>
      <c r="DQ117" s="91"/>
      <c r="DR117" s="91"/>
      <c r="DS117" s="91"/>
      <c r="DT117" s="91"/>
      <c r="DU117" s="91"/>
      <c r="DV117" s="91"/>
      <c r="DW117" s="91"/>
      <c r="DX117" s="91"/>
      <c r="DY117" s="91"/>
      <c r="DZ117" s="91"/>
      <c r="EA117" s="91"/>
      <c r="EB117" s="91"/>
      <c r="EC117" s="91"/>
      <c r="ED117" s="91"/>
      <c r="EE117" s="91"/>
      <c r="EF117" s="91"/>
      <c r="EG117" s="91"/>
      <c r="EH117" s="91"/>
      <c r="EI117" s="91"/>
      <c r="EJ117" s="91"/>
      <c r="EK117" s="91"/>
      <c r="EL117" s="91"/>
      <c r="EM117" s="91"/>
      <c r="EN117" s="91"/>
      <c r="EO117" s="91"/>
      <c r="EP117" s="91"/>
      <c r="EQ117" s="91"/>
      <c r="ER117" s="91"/>
      <c r="ES117" s="91"/>
      <c r="ET117" s="91"/>
      <c r="EU117" s="91"/>
      <c r="EV117" s="91"/>
      <c r="EW117" s="91"/>
      <c r="EX117" s="91"/>
      <c r="EY117" s="91"/>
      <c r="EZ117" s="91"/>
      <c r="FA117" s="91"/>
      <c r="FB117" s="91"/>
      <c r="FC117" s="91"/>
      <c r="FD117" s="91"/>
      <c r="FE117" s="91"/>
      <c r="FF117" s="91"/>
      <c r="FG117" s="91"/>
      <c r="FH117" s="91"/>
      <c r="FI117" s="91"/>
      <c r="FJ117" s="91"/>
      <c r="FK117" s="91"/>
      <c r="FL117" s="91"/>
      <c r="FM117" s="91"/>
      <c r="FN117" s="91"/>
      <c r="FO117" s="91"/>
      <c r="FP117" s="91"/>
      <c r="FQ117" s="91"/>
      <c r="FR117" s="91"/>
      <c r="FS117" s="91"/>
      <c r="FT117" s="91"/>
      <c r="FU117" s="91"/>
      <c r="FV117" s="91"/>
    </row>
    <row r="118" spans="1:178" s="84" customFormat="1" ht="15.75">
      <c r="A118" s="645" t="s">
        <v>42</v>
      </c>
      <c r="B118" s="646"/>
      <c r="C118" s="376" t="s">
        <v>1</v>
      </c>
      <c r="D118" s="148">
        <f aca="true" t="shared" si="24" ref="D118:J118">D119+D125+D131</f>
        <v>109471263.08000001</v>
      </c>
      <c r="E118" s="148">
        <f t="shared" si="24"/>
        <v>114149915.77</v>
      </c>
      <c r="F118" s="148">
        <f t="shared" si="24"/>
        <v>138768811.31</v>
      </c>
      <c r="G118" s="148">
        <f t="shared" si="24"/>
        <v>160449571.47</v>
      </c>
      <c r="H118" s="148">
        <f t="shared" si="24"/>
        <v>168798709.89833412</v>
      </c>
      <c r="I118" s="148">
        <f t="shared" si="24"/>
        <v>184848670.0203544</v>
      </c>
      <c r="J118" s="148">
        <f t="shared" si="24"/>
        <v>195723623.77751362</v>
      </c>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3"/>
      <c r="BX118" s="93"/>
      <c r="BY118" s="93"/>
      <c r="BZ118" s="93"/>
      <c r="CA118" s="93"/>
      <c r="CB118" s="93"/>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row>
    <row r="119" spans="1:178" s="84" customFormat="1" ht="15.75">
      <c r="A119" s="645" t="s">
        <v>43</v>
      </c>
      <c r="B119" s="646"/>
      <c r="C119" s="376" t="s">
        <v>44</v>
      </c>
      <c r="D119" s="148">
        <f aca="true" t="shared" si="25" ref="D119:J119">SUM(D120:D124)</f>
        <v>78644599.54</v>
      </c>
      <c r="E119" s="148">
        <f t="shared" si="25"/>
        <v>84359836.25</v>
      </c>
      <c r="F119" s="148">
        <f t="shared" si="25"/>
        <v>100801373.59</v>
      </c>
      <c r="G119" s="148">
        <f t="shared" si="25"/>
        <v>125858326.03</v>
      </c>
      <c r="H119" s="148">
        <f t="shared" si="25"/>
        <v>128958044.9896594</v>
      </c>
      <c r="I119" s="148">
        <f t="shared" si="25"/>
        <v>144406678.32151023</v>
      </c>
      <c r="J119" s="148">
        <f t="shared" si="25"/>
        <v>156744954.54327112</v>
      </c>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c r="BB119" s="93"/>
      <c r="BC119" s="93"/>
      <c r="BD119" s="93"/>
      <c r="BE119" s="93"/>
      <c r="BF119" s="93"/>
      <c r="BG119" s="93"/>
      <c r="BH119" s="93"/>
      <c r="BI119" s="93"/>
      <c r="BJ119" s="93"/>
      <c r="BK119" s="93"/>
      <c r="BL119" s="93"/>
      <c r="BM119" s="93"/>
      <c r="BN119" s="93"/>
      <c r="BO119" s="93"/>
      <c r="BP119" s="93"/>
      <c r="BQ119" s="93"/>
      <c r="BR119" s="93"/>
      <c r="BS119" s="93"/>
      <c r="BT119" s="93"/>
      <c r="BU119" s="93"/>
      <c r="BV119" s="93"/>
      <c r="BW119" s="93"/>
      <c r="BX119" s="93"/>
      <c r="BY119" s="93"/>
      <c r="BZ119" s="93"/>
      <c r="CA119" s="93"/>
      <c r="CB119" s="93"/>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row>
    <row r="120" spans="1:178" s="8" customFormat="1" ht="15">
      <c r="A120" s="650" t="s">
        <v>43</v>
      </c>
      <c r="B120" s="646"/>
      <c r="C120" s="377" t="s">
        <v>340</v>
      </c>
      <c r="D120" s="78">
        <f>53901348.2-9517795.79</f>
        <v>44383552.410000004</v>
      </c>
      <c r="E120" s="78">
        <f>54497491.41-7545899.47</f>
        <v>46951591.94</v>
      </c>
      <c r="F120" s="78">
        <f>68581559.89-20890347.93</f>
        <v>47691211.96</v>
      </c>
      <c r="G120" s="78">
        <f>((44779476.97)*2)-(14976812.46*2)</f>
        <v>59605329.019999996</v>
      </c>
      <c r="H120" s="139">
        <f>(((E120*(1+Parâmetros!B11)*(1+Parâmetros!C11)*(1+Parâmetros!D11))+(F120*(1+Parâmetros!C11)*(1+Parâmetros!D11)+(G120*(1+Parâmetros!D11))))/3)*(1+Parâmetros!E11)*(1+Parâmetros!E13)*(1+Parâmetros!E18)</f>
        <v>67114012.28107056</v>
      </c>
      <c r="I120" s="155">
        <f>H120*(1+Parâmetros!F11)*(1+Parâmetros!F13)*(1+Parâmetros!F18)</f>
        <v>74413457.890299</v>
      </c>
      <c r="J120" s="155">
        <f>I120*(1+Parâmetros!G11)*(1+Parâmetros!G13)*(1+Parâmetros!G18)</f>
        <v>81743837.26463585</v>
      </c>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3"/>
      <c r="BX120" s="93"/>
      <c r="BY120" s="93"/>
      <c r="BZ120" s="93"/>
      <c r="CA120" s="93"/>
      <c r="CB120" s="93"/>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row>
    <row r="121" spans="1:178" s="8" customFormat="1" ht="15">
      <c r="A121" s="650" t="s">
        <v>43</v>
      </c>
      <c r="B121" s="646"/>
      <c r="C121" s="377" t="s">
        <v>341</v>
      </c>
      <c r="D121" s="83">
        <f>2803004.25-118594.51</f>
        <v>2684409.74</v>
      </c>
      <c r="E121" s="83">
        <f>3017916.88-142495.09</f>
        <v>2875421.79</v>
      </c>
      <c r="F121" s="83">
        <f>2952898.14-183352.52</f>
        <v>2769545.62</v>
      </c>
      <c r="G121" s="83">
        <f>1640856.09*2</f>
        <v>3281712.18</v>
      </c>
      <c r="H121" s="139">
        <f>(((E121*(1+Parâmetros!B11)*(1+Parâmetros!C11)*(1+Parâmetros!D11))+(F121*(1+Parâmetros!C11)*(1+Parâmetros!D11)+(G121*(1+Parâmetros!D11))))/3)*(1+Parâmetros!E11)*(1+Parâmetros!E13)*(1+Parâmetros!E19)</f>
        <v>3894036.0639083963</v>
      </c>
      <c r="I121" s="155">
        <f>H121*(1+Parâmetros!F11)*(1+Parâmetros!F13)*(1+Parâmetros!F19)</f>
        <v>4317558.7156287795</v>
      </c>
      <c r="J121" s="155">
        <f>I121*(1+Parâmetros!G11)*(1+Parâmetros!G13)*(1+Parâmetros!G19)</f>
        <v>4742876.181767649</v>
      </c>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row>
    <row r="122" spans="1:178" s="8" customFormat="1" ht="14.25" customHeight="1">
      <c r="A122" s="650" t="s">
        <v>43</v>
      </c>
      <c r="B122" s="646"/>
      <c r="C122" s="377" t="s">
        <v>183</v>
      </c>
      <c r="D122" s="83">
        <f>18970069.33</f>
        <v>18970069.33</v>
      </c>
      <c r="E122" s="83">
        <f>22174892.74</f>
        <v>22174892.74</v>
      </c>
      <c r="F122" s="83">
        <f>24196319.26</f>
        <v>24196319.26</v>
      </c>
      <c r="G122" s="83">
        <f>14655019.72*2</f>
        <v>29310039.44</v>
      </c>
      <c r="H122" s="139">
        <f>(((E122*(1+Parâmetros!B11)*(1+Parâmetros!C11)*(1+Parâmetros!D11))+(F122*(1+Parâmetros!C11)*(1+Parâmetros!D11)+(G122*(1+Parâmetros!D11))))/3)*(1+Parâmetros!E11)*(1+Parâmetros!E13)*(1+Parâmetros!E18)</f>
        <v>32909271.88844045</v>
      </c>
      <c r="I122" s="155">
        <f>H122*(1+Parâmetros!F11)*(1+Parâmetros!F13)*(1+Parâmetros!F18)</f>
        <v>36488545.90327589</v>
      </c>
      <c r="J122" s="155">
        <f>I122*(1+Parâmetros!G11)*(1+Parâmetros!G13)*(1+Parâmetros!G18)</f>
        <v>40082988.251099996</v>
      </c>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c r="BB122" s="93"/>
      <c r="BC122" s="93"/>
      <c r="BD122" s="93"/>
      <c r="BE122" s="93"/>
      <c r="BF122" s="93"/>
      <c r="BG122" s="93"/>
      <c r="BH122" s="93"/>
      <c r="BI122" s="93"/>
      <c r="BJ122" s="93"/>
      <c r="BK122" s="93"/>
      <c r="BL122" s="93"/>
      <c r="BM122" s="93"/>
      <c r="BN122" s="93"/>
      <c r="BO122" s="93"/>
      <c r="BP122" s="93"/>
      <c r="BQ122" s="93"/>
      <c r="BR122" s="93"/>
      <c r="BS122" s="93"/>
      <c r="BT122" s="93"/>
      <c r="BU122" s="93"/>
      <c r="BV122" s="93"/>
      <c r="BW122" s="93"/>
      <c r="BX122" s="93"/>
      <c r="BY122" s="93"/>
      <c r="BZ122" s="93"/>
      <c r="CA122" s="93"/>
      <c r="CB122" s="93"/>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row>
    <row r="123" spans="1:178" s="8" customFormat="1" ht="14.25" customHeight="1">
      <c r="A123" s="650" t="s">
        <v>43</v>
      </c>
      <c r="B123" s="646"/>
      <c r="C123" s="377" t="s">
        <v>588</v>
      </c>
      <c r="D123" s="83">
        <f>2967636.41+2541.35-2802295.01</f>
        <v>167882.75000000047</v>
      </c>
      <c r="E123" s="83">
        <f>4669535.22-3735909.72</f>
        <v>933625.4999999995</v>
      </c>
      <c r="F123" s="83">
        <f>5070596.3-4847481.81</f>
        <v>223114.49000000022</v>
      </c>
      <c r="G123" s="83">
        <f>3518989.33-2794754.87</f>
        <v>724234.46</v>
      </c>
      <c r="H123" s="139">
        <f>((E123+F123+G123)/3)*(1+Parâmetros!E11)</f>
        <v>652698.1341499999</v>
      </c>
      <c r="I123" s="139">
        <f>((F123+G123+H123)/3)*(1+Parâmetros!F11)</f>
        <v>550416.1969476</v>
      </c>
      <c r="J123" s="139">
        <f>((G123+H123+I123)/3)*(1+Parâmetros!G11)</f>
        <v>661723.0849435093</v>
      </c>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row>
    <row r="124" spans="1:178" s="265" customFormat="1" ht="14.25" customHeight="1">
      <c r="A124" s="650" t="s">
        <v>516</v>
      </c>
      <c r="B124" s="646"/>
      <c r="C124" s="377" t="s">
        <v>524</v>
      </c>
      <c r="D124" s="83">
        <f>9517795.79+118594.51+2802295.01</f>
        <v>12438685.309999999</v>
      </c>
      <c r="E124" s="83">
        <f>7545899.47+142495.09+3735909.72</f>
        <v>11424304.28</v>
      </c>
      <c r="F124" s="83">
        <f>20890347.93+4847481.81+183352.52</f>
        <v>25921182.259999998</v>
      </c>
      <c r="G124" s="83">
        <f>((14976812.46+94315.57)*2)+2794754.87</f>
        <v>32937010.930000003</v>
      </c>
      <c r="H124" s="139">
        <f>((E124+F124+G124)/3)*(1+Parâmetros!E11)</f>
        <v>24388026.622089997</v>
      </c>
      <c r="I124" s="155">
        <f>((F124+G124+H124)/3)*(1+Parâmetros!F11)</f>
        <v>28636699.615358956</v>
      </c>
      <c r="J124" s="155">
        <f>((G124+H124+I124)/3)*(1+Parâmetros!G11)</f>
        <v>29513529.760824144</v>
      </c>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4"/>
      <c r="DR124" s="264"/>
      <c r="DS124" s="264"/>
      <c r="DT124" s="264"/>
      <c r="DU124" s="264"/>
      <c r="DV124" s="264"/>
      <c r="DW124" s="264"/>
      <c r="DX124" s="264"/>
      <c r="DY124" s="264"/>
      <c r="DZ124" s="264"/>
      <c r="EA124" s="264"/>
      <c r="EB124" s="264"/>
      <c r="EC124" s="264"/>
      <c r="ED124" s="264"/>
      <c r="EE124" s="264"/>
      <c r="EF124" s="264"/>
      <c r="EG124" s="264"/>
      <c r="EH124" s="264"/>
      <c r="EI124" s="264"/>
      <c r="EJ124" s="264"/>
      <c r="EK124" s="264"/>
      <c r="EL124" s="264"/>
      <c r="EM124" s="264"/>
      <c r="EN124" s="264"/>
      <c r="EO124" s="264"/>
      <c r="EP124" s="264"/>
      <c r="EQ124" s="264"/>
      <c r="ER124" s="264"/>
      <c r="ES124" s="264"/>
      <c r="ET124" s="264"/>
      <c r="EU124" s="264"/>
      <c r="EV124" s="264"/>
      <c r="EW124" s="264"/>
      <c r="EX124" s="264"/>
      <c r="EY124" s="264"/>
      <c r="EZ124" s="264"/>
      <c r="FA124" s="264"/>
      <c r="FB124" s="264"/>
      <c r="FC124" s="264"/>
      <c r="FD124" s="264"/>
      <c r="FE124" s="264"/>
      <c r="FF124" s="264"/>
      <c r="FG124" s="264"/>
      <c r="FH124" s="264"/>
      <c r="FI124" s="264"/>
      <c r="FJ124" s="264"/>
      <c r="FK124" s="264"/>
      <c r="FL124" s="264"/>
      <c r="FM124" s="264"/>
      <c r="FN124" s="264"/>
      <c r="FO124" s="264"/>
      <c r="FP124" s="264"/>
      <c r="FQ124" s="264"/>
      <c r="FR124" s="264"/>
      <c r="FS124" s="264"/>
      <c r="FT124" s="264"/>
      <c r="FU124" s="264"/>
      <c r="FV124" s="264"/>
    </row>
    <row r="125" spans="1:178" s="85" customFormat="1" ht="15.75">
      <c r="A125" s="645" t="s">
        <v>45</v>
      </c>
      <c r="B125" s="646"/>
      <c r="C125" s="376" t="s">
        <v>122</v>
      </c>
      <c r="D125" s="148">
        <f aca="true" t="shared" si="26" ref="D125:J125">SUM(D126:D130)</f>
        <v>127262.73</v>
      </c>
      <c r="E125" s="148">
        <f t="shared" si="26"/>
        <v>84471.53</v>
      </c>
      <c r="F125" s="148">
        <f t="shared" si="26"/>
        <v>66949.44</v>
      </c>
      <c r="G125" s="148">
        <f t="shared" si="26"/>
        <v>10160.72</v>
      </c>
      <c r="H125" s="148">
        <f t="shared" si="26"/>
        <v>70535.77250445641</v>
      </c>
      <c r="I125" s="148">
        <f t="shared" si="26"/>
        <v>74410.77260045064</v>
      </c>
      <c r="J125" s="148">
        <f t="shared" si="26"/>
        <v>79800.2674076726</v>
      </c>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row>
    <row r="126" spans="1:178" ht="15">
      <c r="A126" s="650" t="s">
        <v>45</v>
      </c>
      <c r="B126" s="646"/>
      <c r="C126" s="377" t="s">
        <v>342</v>
      </c>
      <c r="D126" s="78">
        <f>127262.73</f>
        <v>127262.73</v>
      </c>
      <c r="E126" s="78">
        <f>78892.41</f>
        <v>78892.41</v>
      </c>
      <c r="F126" s="78">
        <f>66949.44</f>
        <v>66949.44</v>
      </c>
      <c r="G126" s="78">
        <f>10160.72</f>
        <v>10160.72</v>
      </c>
      <c r="H126" s="139">
        <f>(((E126*(1+Parâmetros!B11)*(1+Parâmetros!C11)*(1+Parâmetros!D11))+(F126*(1+Parâmetros!C11)*(1+Parâmetros!D11)+(G126*(1+Parâmetros!D11))))/3)*(1+Parâmetros!E21)</f>
        <v>68599.81786445642</v>
      </c>
      <c r="I126" s="155">
        <f>H126*(1+Parâmetros!F21)</f>
        <v>73744.80420429065</v>
      </c>
      <c r="J126" s="155">
        <f>I126*(1+Parâmetros!G21)</f>
        <v>78906.940498591</v>
      </c>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row>
    <row r="127" spans="1:178" ht="15">
      <c r="A127" s="650" t="s">
        <v>45</v>
      </c>
      <c r="B127" s="646"/>
      <c r="C127" s="377" t="s">
        <v>343</v>
      </c>
      <c r="D127" s="83"/>
      <c r="E127" s="83"/>
      <c r="F127" s="83"/>
      <c r="G127" s="83"/>
      <c r="H127" s="139">
        <f>(((E127*(1+Parâmetros!B11)*(1+Parâmetros!C11)*(1+Parâmetros!D11))+(F127*(1+Parâmetros!C11)*(1+Parâmetros!D11)+(G127*(1+Parâmetros!D11))))/3)*(1+Parâmetros!E21)</f>
        <v>0</v>
      </c>
      <c r="I127" s="155">
        <f>H127*(1+Parâmetros!F21)</f>
        <v>0</v>
      </c>
      <c r="J127" s="155">
        <f>I127*(1+Parâmetros!G21)</f>
        <v>0</v>
      </c>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row>
    <row r="128" spans="1:178" ht="15">
      <c r="A128" s="650" t="s">
        <v>45</v>
      </c>
      <c r="B128" s="646"/>
      <c r="C128" s="377" t="s">
        <v>184</v>
      </c>
      <c r="D128" s="83"/>
      <c r="E128" s="83"/>
      <c r="F128" s="83"/>
      <c r="G128" s="83"/>
      <c r="H128" s="139">
        <f>(((E128*(1+Parâmetros!B11)*(1+Parâmetros!C11)*(1+Parâmetros!D11))+(F128*(1+Parâmetros!C11)*(1+Parâmetros!D11)+(G128*(1+Parâmetros!D11))))/3)*(1+Parâmetros!E21)</f>
        <v>0</v>
      </c>
      <c r="I128" s="155">
        <f>H128*(1+Parâmetros!F21)</f>
        <v>0</v>
      </c>
      <c r="J128" s="155">
        <f>I128*(1+Parâmetros!G21)</f>
        <v>0</v>
      </c>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row>
    <row r="129" spans="1:178" ht="15.75">
      <c r="A129" s="650" t="s">
        <v>45</v>
      </c>
      <c r="B129" s="646"/>
      <c r="C129" s="377" t="s">
        <v>589</v>
      </c>
      <c r="D129" s="83"/>
      <c r="E129" s="83">
        <f>5579.12</f>
        <v>5579.12</v>
      </c>
      <c r="F129" s="83"/>
      <c r="G129" s="83"/>
      <c r="H129" s="139">
        <f>((E129+F129+G129)/3)*(1+Parâmetros!E11)</f>
        <v>1935.95464</v>
      </c>
      <c r="I129" s="139">
        <f>((F129+G129+H129)/3)*(1+Parâmetros!F11)</f>
        <v>665.96839616</v>
      </c>
      <c r="J129" s="139">
        <f>((G129+H129+I129)/3)*(1+Parâmetros!G11)</f>
        <v>893.3269090815999</v>
      </c>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row>
    <row r="130" spans="1:178" ht="15.75">
      <c r="A130" s="650" t="s">
        <v>517</v>
      </c>
      <c r="B130" s="646"/>
      <c r="C130" s="377" t="s">
        <v>525</v>
      </c>
      <c r="D130" s="83"/>
      <c r="E130" s="83"/>
      <c r="F130" s="83"/>
      <c r="G130" s="83"/>
      <c r="H130" s="139">
        <f>((E130+F130+G130)/3)*(1+Parâmetros!E11)</f>
        <v>0</v>
      </c>
      <c r="I130" s="139">
        <f>((F130+G130+H130)/3)*(1+Parâmetros!F11)</f>
        <v>0</v>
      </c>
      <c r="J130" s="139">
        <f>((G130+H130+I130)/3)*(1+Parâmetros!G11)</f>
        <v>0</v>
      </c>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row>
    <row r="131" spans="1:178" s="84" customFormat="1" ht="15.75">
      <c r="A131" s="645" t="s">
        <v>46</v>
      </c>
      <c r="B131" s="646"/>
      <c r="C131" s="376" t="s">
        <v>47</v>
      </c>
      <c r="D131" s="148">
        <f aca="true" t="shared" si="27" ref="D131:J131">SUM(D132:D136)</f>
        <v>30699400.81</v>
      </c>
      <c r="E131" s="148">
        <f t="shared" si="27"/>
        <v>29705607.99</v>
      </c>
      <c r="F131" s="148">
        <f t="shared" si="27"/>
        <v>37900488.279999994</v>
      </c>
      <c r="G131" s="148">
        <f t="shared" si="27"/>
        <v>34581084.72</v>
      </c>
      <c r="H131" s="148">
        <f t="shared" si="27"/>
        <v>39770129.136170246</v>
      </c>
      <c r="I131" s="148">
        <f t="shared" si="27"/>
        <v>40367580.92624373</v>
      </c>
      <c r="J131" s="148">
        <f t="shared" si="27"/>
        <v>38898868.96683483</v>
      </c>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row>
    <row r="132" spans="1:178" s="8" customFormat="1" ht="15">
      <c r="A132" s="650" t="s">
        <v>46</v>
      </c>
      <c r="B132" s="646"/>
      <c r="C132" s="377" t="s">
        <v>344</v>
      </c>
      <c r="D132" s="78">
        <f>23375588.49+4579810.6-10050.05</f>
        <v>27945349.039999995</v>
      </c>
      <c r="E132" s="78">
        <f>22955284.51+3616949.46</f>
        <v>26572233.970000003</v>
      </c>
      <c r="F132" s="78">
        <f>29879853.93+5670514.35-1446516.2</f>
        <v>34103852.08</v>
      </c>
      <c r="G132" s="78">
        <f>(15496143.43*2)-(895351.43*2)</f>
        <v>29201584</v>
      </c>
      <c r="H132" s="139">
        <f>(((E132*(1+Parâmetros!B11)*(1+Parâmetros!C11)*(1+Parâmetros!D11))+(F132*(1+Parâmetros!C11)*(1+Parâmetros!D11)+(G132*(1+Parâmetros!D11))))/3)*(1+Parâmetros!E11)*(1+Parâmetros!E14)</f>
        <v>35423119.32815151</v>
      </c>
      <c r="I132" s="155">
        <f>H132*(1+Parâmetros!F11)*(1+Parâmetros!F14)</f>
        <v>35681651.83456183</v>
      </c>
      <c r="J132" s="155">
        <f>I132*(1+Parâmetros!G11)*(1+Parâmetros!G14)</f>
        <v>33995541.92863674</v>
      </c>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row>
    <row r="133" spans="1:178" s="8" customFormat="1" ht="15">
      <c r="A133" s="650" t="s">
        <v>46</v>
      </c>
      <c r="B133" s="646"/>
      <c r="C133" s="377" t="s">
        <v>345</v>
      </c>
      <c r="D133" s="83">
        <f>625364.78</f>
        <v>625364.78</v>
      </c>
      <c r="E133" s="83">
        <f>501340.56</f>
        <v>501340.56</v>
      </c>
      <c r="F133" s="83">
        <f>541396.52-37984.72</f>
        <v>503411.80000000005</v>
      </c>
      <c r="G133" s="83">
        <f>316351.94*2</f>
        <v>632703.88</v>
      </c>
      <c r="H133" s="139">
        <f>(((E133*(1+Parâmetros!B11)*(1+Parâmetros!C11)*(1+Parâmetros!D11))+(F133*(1+Parâmetros!C11)*(1+Parâmetros!D11)+(G133*(1+Parâmetros!D11))))/3)*(1+Parâmetros!E11)*(1+Parâmetros!E14)</f>
        <v>641988.4309676131</v>
      </c>
      <c r="I133" s="155">
        <f>H133*(1+Parâmetros!F11)*(1+Parâmetros!F14)</f>
        <v>646673.9268045815</v>
      </c>
      <c r="J133" s="155">
        <f>I133*(1+Parâmetros!G11)*(1+Parâmetros!G14)</f>
        <v>616115.8315979986</v>
      </c>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row>
    <row r="134" spans="1:178" s="8" customFormat="1" ht="15">
      <c r="A134" s="650" t="s">
        <v>46</v>
      </c>
      <c r="B134" s="646"/>
      <c r="C134" s="377" t="s">
        <v>346</v>
      </c>
      <c r="D134" s="83">
        <f>14828.91</f>
        <v>14828.91</v>
      </c>
      <c r="E134" s="83">
        <f>7717.9</f>
        <v>7717.9</v>
      </c>
      <c r="F134" s="83">
        <f>18078.15</f>
        <v>18078.15</v>
      </c>
      <c r="G134" s="83">
        <f>8626.87*2</f>
        <v>17253.74</v>
      </c>
      <c r="H134" s="139">
        <f>(((E134*(1+Parâmetros!B11)*(1+Parâmetros!C11)*(1+Parâmetros!D11))+(F134*(1+Parâmetros!C11)*(1+Parâmetros!D11)+(G134*(1+Parâmetros!D11))))/3)*(1+Parâmetros!E11)*(1+Parâmetros!E14)</f>
        <v>16756.673281124902</v>
      </c>
      <c r="I134" s="155">
        <f>H134*(1+Parâmetros!F11)*(1+Parâmetros!F14)</f>
        <v>16878.970380438383</v>
      </c>
      <c r="J134" s="155">
        <f>I134*(1+Parâmetros!G11)*(1+Parâmetros!G14)</f>
        <v>16081.367195131057</v>
      </c>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row>
    <row r="135" spans="1:178" s="8" customFormat="1" ht="15.75">
      <c r="A135" s="650" t="s">
        <v>46</v>
      </c>
      <c r="B135" s="646"/>
      <c r="C135" s="377" t="s">
        <v>590</v>
      </c>
      <c r="D135" s="83">
        <f>2100843.8+2964.23</f>
        <v>2103808.03</v>
      </c>
      <c r="E135" s="83">
        <f>2624315.56</f>
        <v>2624315.56</v>
      </c>
      <c r="F135" s="83">
        <f>1738562.02+2150.91+654+49278.4</f>
        <v>1790645.3299999998</v>
      </c>
      <c r="G135" s="83">
        <f>2918620.8-140300.8</f>
        <v>2778320</v>
      </c>
      <c r="H135" s="139">
        <f>((E135+F135+G135)/3)*(1+Parâmetros!E11)</f>
        <v>2496068.4688299997</v>
      </c>
      <c r="I135" s="139">
        <f>((F135+G135+H135)/3)*(1+Parâmetros!F11)</f>
        <v>2430371.6267975196</v>
      </c>
      <c r="J135" s="139">
        <f>((G135+H135+I135)/3)*(1+Parâmetros!G11)</f>
        <v>2645300.966165448</v>
      </c>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row>
    <row r="136" spans="1:178" s="8" customFormat="1" ht="15.75">
      <c r="A136" s="650" t="s">
        <v>518</v>
      </c>
      <c r="B136" s="646"/>
      <c r="C136" s="377" t="s">
        <v>526</v>
      </c>
      <c r="D136" s="83">
        <f>10050.05</f>
        <v>10050.05</v>
      </c>
      <c r="E136" s="83"/>
      <c r="F136" s="83">
        <f>1446516.2+37984.72</f>
        <v>1484500.92</v>
      </c>
      <c r="G136" s="83">
        <f>((895351.43+10109.72)*2)+140300.8</f>
        <v>1951223.1</v>
      </c>
      <c r="H136" s="139">
        <f>((E136+F136+G136)/3)*(1+Parâmetros!E11)</f>
        <v>1192196.23494</v>
      </c>
      <c r="I136" s="139">
        <f>((F136+G136+H136)/3)*(1+Parâmetros!F11)</f>
        <v>1592004.5676993602</v>
      </c>
      <c r="J136" s="139">
        <f>((G136+H136+I136)/3)*(1+Parâmetros!G11)</f>
        <v>1625828.8732395142</v>
      </c>
      <c r="K136" s="93"/>
      <c r="L136" s="266" t="s">
        <v>522</v>
      </c>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row>
    <row r="137" spans="1:178" s="84" customFormat="1" ht="15.75">
      <c r="A137" s="645" t="s">
        <v>48</v>
      </c>
      <c r="B137" s="646"/>
      <c r="C137" s="376" t="s">
        <v>2</v>
      </c>
      <c r="D137" s="148">
        <f aca="true" t="shared" si="28" ref="D137:J137">D138+D144+D150</f>
        <v>3569877.59</v>
      </c>
      <c r="E137" s="148">
        <f t="shared" si="28"/>
        <v>6472044.569999999</v>
      </c>
      <c r="F137" s="148">
        <f t="shared" si="28"/>
        <v>3201456.1100000003</v>
      </c>
      <c r="G137" s="148">
        <f t="shared" si="28"/>
        <v>2931984.5300000003</v>
      </c>
      <c r="H137" s="148">
        <f t="shared" si="28"/>
        <v>5533867.538465376</v>
      </c>
      <c r="I137" s="148">
        <f t="shared" si="28"/>
        <v>5003008.341597144</v>
      </c>
      <c r="J137" s="148">
        <f t="shared" si="28"/>
        <v>4922906.049780051</v>
      </c>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row>
    <row r="138" spans="1:178" s="84" customFormat="1" ht="15.75">
      <c r="A138" s="645" t="s">
        <v>49</v>
      </c>
      <c r="B138" s="646"/>
      <c r="C138" s="376" t="s">
        <v>3</v>
      </c>
      <c r="D138" s="148">
        <f aca="true" t="shared" si="29" ref="D138:J138">SUM(D139:D143)</f>
        <v>2562187.55</v>
      </c>
      <c r="E138" s="148">
        <f t="shared" si="29"/>
        <v>5725941.6899999995</v>
      </c>
      <c r="F138" s="148">
        <f t="shared" si="29"/>
        <v>2879160.5700000003</v>
      </c>
      <c r="G138" s="148">
        <f t="shared" si="29"/>
        <v>2882467.0700000003</v>
      </c>
      <c r="H138" s="148">
        <f t="shared" si="29"/>
        <v>5089719.085573987</v>
      </c>
      <c r="I138" s="148">
        <f t="shared" si="29"/>
        <v>4523174.63453227</v>
      </c>
      <c r="J138" s="148">
        <f t="shared" si="29"/>
        <v>4482932.439616969</v>
      </c>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row>
    <row r="139" spans="1:178" s="8" customFormat="1" ht="15">
      <c r="A139" s="650" t="s">
        <v>49</v>
      </c>
      <c r="B139" s="646"/>
      <c r="C139" s="377" t="s">
        <v>347</v>
      </c>
      <c r="D139" s="78">
        <f>2168258.93</f>
        <v>2168258.93</v>
      </c>
      <c r="E139" s="78">
        <f>4718533.96</f>
        <v>4718533.96</v>
      </c>
      <c r="F139" s="78">
        <f>1553600.29</f>
        <v>1553600.29</v>
      </c>
      <c r="G139" s="78">
        <f>863786.38*2</f>
        <v>1727572.76</v>
      </c>
      <c r="H139" s="139">
        <f>(((E139*(1+Parâmetros!B11)*(1+Parâmetros!C11)*(1+Parâmetros!D11))+(F139*(1+Parâmetros!C11)*(1+Parâmetros!D11)+(G139*(1+Parâmetros!D11))))/3)*(1+Parâmetros!E11)*(1+Parâmetros!E20)</f>
        <v>3872258.579456619</v>
      </c>
      <c r="I139" s="155">
        <f>H139*(1+Parâmetros!F11)*(1+Parâmetros!F20)</f>
        <v>3247772.3098794264</v>
      </c>
      <c r="J139" s="155">
        <f>I139*(1+Parâmetros!G11)*(1+Parâmetros!G20)</f>
        <v>3227740.7108427966</v>
      </c>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row>
    <row r="140" spans="1:178" s="8" customFormat="1" ht="15">
      <c r="A140" s="650" t="s">
        <v>49</v>
      </c>
      <c r="B140" s="646"/>
      <c r="C140" s="377" t="s">
        <v>348</v>
      </c>
      <c r="D140" s="83">
        <f>12569.9</f>
        <v>12569.9</v>
      </c>
      <c r="E140" s="83">
        <f>25244.8</f>
        <v>25244.8</v>
      </c>
      <c r="F140" s="83">
        <f>19819.2</f>
        <v>19819.2</v>
      </c>
      <c r="G140" s="83"/>
      <c r="H140" s="139">
        <f>(((E140*(1+Parâmetros!B11)*(1+Parâmetros!C11)*(1+Parâmetros!D11))+(F140*(1+Parâmetros!C11)*(1+Parâmetros!D11)+(G140*(1+Parâmetros!D11))))/3)*(1+Parâmetros!E11)*(1+Parâmetros!E20)</f>
        <v>22211.82620810787</v>
      </c>
      <c r="I140" s="155">
        <f>H140*(1+Parâmetros!F11)*(1+Parâmetros!F20)</f>
        <v>18629.68410561825</v>
      </c>
      <c r="J140" s="155">
        <f>I140*(1+Parâmetros!G11)*(1+Parâmetros!G20)</f>
        <v>18514.780003182364</v>
      </c>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row>
    <row r="141" spans="1:178" s="8" customFormat="1" ht="15">
      <c r="A141" s="650" t="s">
        <v>49</v>
      </c>
      <c r="B141" s="646"/>
      <c r="C141" s="377" t="s">
        <v>591</v>
      </c>
      <c r="D141" s="83"/>
      <c r="E141" s="83"/>
      <c r="F141" s="83"/>
      <c r="G141" s="83">
        <f>6656.79</f>
        <v>6656.79</v>
      </c>
      <c r="H141" s="139">
        <f>(((E141*(1+Parâmetros!B11)*(1+Parâmetros!C11)*(1+Parâmetros!D11))+(F141*(1+Parâmetros!C11)*(1+Parâmetros!D11)+(G141*(1+Parâmetros!D11))))/3)*(1+Parâmetros!E11)*(1+Parâmetros!E20)</f>
        <v>2907.5689992607663</v>
      </c>
      <c r="I141" s="155">
        <f>H141*(1+Parâmetros!F11)*(1+Parâmetros!F20)</f>
        <v>2438.6599941856343</v>
      </c>
      <c r="J141" s="155">
        <f>I141*(1+Parâmetros!G11)*(1+Parâmetros!G20)</f>
        <v>2423.6188353452812</v>
      </c>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row>
    <row r="142" spans="1:178" s="8" customFormat="1" ht="15.75">
      <c r="A142" s="650" t="s">
        <v>519</v>
      </c>
      <c r="B142" s="646"/>
      <c r="C142" s="377" t="s">
        <v>593</v>
      </c>
      <c r="D142" s="83">
        <f>381358.72</f>
        <v>381358.72</v>
      </c>
      <c r="E142" s="83">
        <f>982162.93</f>
        <v>982162.93</v>
      </c>
      <c r="F142" s="83">
        <f>1305741.08</f>
        <v>1305741.08</v>
      </c>
      <c r="G142" s="83">
        <f>1148237.52</f>
        <v>1148237.52</v>
      </c>
      <c r="H142" s="139">
        <f>((E142+F142+G142)/3)*(1+Parâmetros!E11)</f>
        <v>1192341.1109099998</v>
      </c>
      <c r="I142" s="139">
        <f>((F142+G142+H142)/3)*(1+Parâmetros!F11)</f>
        <v>1254333.98055304</v>
      </c>
      <c r="J142" s="139">
        <f>((G142+H142+I142)/3)*(1+Parâmetros!G11)</f>
        <v>1234253.3299356438</v>
      </c>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row>
    <row r="143" spans="1:178" s="8" customFormat="1" ht="15.75">
      <c r="A143" s="650" t="s">
        <v>519</v>
      </c>
      <c r="B143" s="646"/>
      <c r="C143" s="377" t="s">
        <v>592</v>
      </c>
      <c r="D143" s="83"/>
      <c r="E143" s="83"/>
      <c r="F143" s="83"/>
      <c r="G143" s="83"/>
      <c r="H143" s="139">
        <f>((E143+F143+G143)/3)*(1+Parâmetros!E11)</f>
        <v>0</v>
      </c>
      <c r="I143" s="139">
        <f>((F143+G143+H143)/3)*(1+Parâmetros!F11)</f>
        <v>0</v>
      </c>
      <c r="J143" s="139">
        <f>((G143+H143+I143)/3)*(1+Parâmetros!G11)</f>
        <v>0</v>
      </c>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row>
    <row r="144" spans="1:178" s="84" customFormat="1" ht="15.75">
      <c r="A144" s="645" t="s">
        <v>50</v>
      </c>
      <c r="B144" s="646"/>
      <c r="C144" s="376" t="s">
        <v>4</v>
      </c>
      <c r="D144" s="148">
        <f aca="true" t="shared" si="30" ref="D144:J144">SUM(D145:D149)</f>
        <v>0</v>
      </c>
      <c r="E144" s="148">
        <f t="shared" si="30"/>
        <v>0</v>
      </c>
      <c r="F144" s="148">
        <f t="shared" si="30"/>
        <v>0</v>
      </c>
      <c r="G144" s="148">
        <f t="shared" si="30"/>
        <v>0</v>
      </c>
      <c r="H144" s="148">
        <f t="shared" si="30"/>
        <v>0</v>
      </c>
      <c r="I144" s="148">
        <f t="shared" si="30"/>
        <v>0</v>
      </c>
      <c r="J144" s="148">
        <f t="shared" si="30"/>
        <v>0</v>
      </c>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row>
    <row r="145" spans="1:178" ht="15">
      <c r="A145" s="650" t="s">
        <v>51</v>
      </c>
      <c r="B145" s="646"/>
      <c r="C145" s="377" t="s">
        <v>52</v>
      </c>
      <c r="D145" s="78"/>
      <c r="E145" s="78"/>
      <c r="F145" s="78"/>
      <c r="G145" s="78"/>
      <c r="H145" s="139">
        <f>(((E145*(1+Parâmetros!B11)*(1+Parâmetros!C11)*(1+Parâmetros!D11))+(F145*(1+Parâmetros!C11)*(1+Parâmetros!D11)+(G145*(1+Parâmetros!D11))))/3)*(1+Parâmetros!E11)</f>
        <v>0</v>
      </c>
      <c r="I145" s="155">
        <f>H145*(1+Parâmetros!F11)</f>
        <v>0</v>
      </c>
      <c r="J145" s="155">
        <f>I145*(1+Parâmetros!G11)</f>
        <v>0</v>
      </c>
      <c r="K145" s="79"/>
      <c r="L145" s="79"/>
      <c r="M145" s="79"/>
      <c r="N145" s="79"/>
      <c r="O145" s="79"/>
      <c r="P145" s="79"/>
      <c r="Q145" s="79"/>
      <c r="R145" s="79"/>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row>
    <row r="146" spans="1:178" ht="15">
      <c r="A146" s="650" t="s">
        <v>349</v>
      </c>
      <c r="B146" s="646"/>
      <c r="C146" s="377" t="s">
        <v>350</v>
      </c>
      <c r="D146" s="83"/>
      <c r="E146" s="83"/>
      <c r="F146" s="83"/>
      <c r="G146" s="83"/>
      <c r="H146" s="139">
        <f>(((E146*(1+Parâmetros!B11)*(1+Parâmetros!C11)*(1+Parâmetros!D11))+(F146*(1+Parâmetros!C11)*(1+Parâmetros!D11)+(G146*(1+Parâmetros!D11))))/3)*(1+Parâmetros!E11)</f>
        <v>0</v>
      </c>
      <c r="I146" s="155">
        <f>H146*(1+Parâmetros!F11)</f>
        <v>0</v>
      </c>
      <c r="J146" s="155">
        <f>I146*(1+Parâmetros!G11)</f>
        <v>0</v>
      </c>
      <c r="K146" s="79"/>
      <c r="L146" s="79"/>
      <c r="M146" s="79"/>
      <c r="N146" s="79"/>
      <c r="O146" s="79"/>
      <c r="P146" s="79"/>
      <c r="Q146" s="79"/>
      <c r="R146" s="79"/>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row>
    <row r="147" spans="1:178" ht="15">
      <c r="A147" s="650" t="s">
        <v>349</v>
      </c>
      <c r="B147" s="646"/>
      <c r="C147" s="377" t="s">
        <v>351</v>
      </c>
      <c r="D147" s="83"/>
      <c r="E147" s="83"/>
      <c r="F147" s="83"/>
      <c r="G147" s="83"/>
      <c r="H147" s="139">
        <f>(((E147*(1+Parâmetros!B11)*(1+Parâmetros!C11)*(1+Parâmetros!D11))+(F147*(1+Parâmetros!C11)*(1+Parâmetros!D11)+(G147*(1+Parâmetros!D11))))/3)*(1+Parâmetros!E11)</f>
        <v>0</v>
      </c>
      <c r="I147" s="155">
        <f>H147*(1+Parâmetros!F11)</f>
        <v>0</v>
      </c>
      <c r="J147" s="155">
        <f>I147*(1+Parâmetros!G11)</f>
        <v>0</v>
      </c>
      <c r="K147" s="79"/>
      <c r="L147" s="79"/>
      <c r="M147" s="79"/>
      <c r="N147" s="79"/>
      <c r="O147" s="79"/>
      <c r="P147" s="79"/>
      <c r="Q147" s="79"/>
      <c r="R147" s="79"/>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row>
    <row r="148" spans="1:178" ht="15.75">
      <c r="A148" s="650" t="s">
        <v>349</v>
      </c>
      <c r="B148" s="646"/>
      <c r="C148" s="377" t="s">
        <v>594</v>
      </c>
      <c r="D148" s="83"/>
      <c r="E148" s="83"/>
      <c r="F148" s="83"/>
      <c r="G148" s="83"/>
      <c r="H148" s="139">
        <f>((E148+F148+G148)/3)*(1+Parâmetros!E11)</f>
        <v>0</v>
      </c>
      <c r="I148" s="139">
        <f>((F148+G148+H148)/3)*(1+Parâmetros!F11)</f>
        <v>0</v>
      </c>
      <c r="J148" s="139">
        <f>((G148+H148+I148)/3)*(1+Parâmetros!G11)</f>
        <v>0</v>
      </c>
      <c r="K148" s="79"/>
      <c r="L148" s="79"/>
      <c r="M148" s="79"/>
      <c r="N148" s="79"/>
      <c r="O148" s="79"/>
      <c r="P148" s="79"/>
      <c r="Q148" s="79"/>
      <c r="R148" s="79"/>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row>
    <row r="149" spans="1:178" ht="15.75">
      <c r="A149" s="650" t="s">
        <v>520</v>
      </c>
      <c r="B149" s="646"/>
      <c r="C149" s="377" t="s">
        <v>527</v>
      </c>
      <c r="D149" s="83"/>
      <c r="E149" s="83"/>
      <c r="F149" s="83"/>
      <c r="G149" s="83"/>
      <c r="H149" s="139">
        <f>((E149+F149+G149)/3)*(1+Parâmetros!E11)</f>
        <v>0</v>
      </c>
      <c r="I149" s="139">
        <f>((F149+G149+H149)/3)*(1+Parâmetros!F11)</f>
        <v>0</v>
      </c>
      <c r="J149" s="139">
        <f>((G149+H149+I149)/3)*(1+Parâmetros!G11)</f>
        <v>0</v>
      </c>
      <c r="K149" s="79"/>
      <c r="L149" s="79"/>
      <c r="M149" s="79"/>
      <c r="N149" s="79"/>
      <c r="O149" s="79"/>
      <c r="P149" s="79"/>
      <c r="Q149" s="79"/>
      <c r="R149" s="79"/>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row>
    <row r="150" spans="1:178" s="84" customFormat="1" ht="15.75">
      <c r="A150" s="645" t="s">
        <v>53</v>
      </c>
      <c r="B150" s="646"/>
      <c r="C150" s="376" t="s">
        <v>54</v>
      </c>
      <c r="D150" s="148">
        <f aca="true" t="shared" si="31" ref="D150:J150">SUM(D151:D155)</f>
        <v>1007690.04</v>
      </c>
      <c r="E150" s="148">
        <f t="shared" si="31"/>
        <v>746102.88</v>
      </c>
      <c r="F150" s="148">
        <f t="shared" si="31"/>
        <v>322295.54000000004</v>
      </c>
      <c r="G150" s="148">
        <f t="shared" si="31"/>
        <v>49517.46</v>
      </c>
      <c r="H150" s="148">
        <f t="shared" si="31"/>
        <v>444148.45289138897</v>
      </c>
      <c r="I150" s="148">
        <f t="shared" si="31"/>
        <v>479833.70706487354</v>
      </c>
      <c r="J150" s="148">
        <f t="shared" si="31"/>
        <v>439973.6101630826</v>
      </c>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row>
    <row r="151" spans="1:178" s="8" customFormat="1" ht="15">
      <c r="A151" s="650" t="s">
        <v>53</v>
      </c>
      <c r="B151" s="646"/>
      <c r="C151" s="377" t="s">
        <v>352</v>
      </c>
      <c r="D151" s="78">
        <f>854616.37-82270.36</f>
        <v>772346.01</v>
      </c>
      <c r="E151" s="78">
        <f>672104.74</f>
        <v>672104.74</v>
      </c>
      <c r="F151" s="78"/>
      <c r="G151" s="78"/>
      <c r="H151" s="139">
        <f>(((E151*(1+Parâmetros!B11)*(1+Parâmetros!C11)*(1+Parâmetros!D11))+(F151*(1+Parâmetros!C11)*(1+Parâmetros!D11)+(G151*(1+Parâmetros!D11))))/3)*(1+Parâmetros!E11)</f>
        <v>289451.987311389</v>
      </c>
      <c r="I151" s="155">
        <f>H151*(1+Parâmetros!F11)</f>
        <v>298714.4509053535</v>
      </c>
      <c r="J151" s="155">
        <f>I151*(1+Parâmetros!G11)</f>
        <v>307675.8844325141</v>
      </c>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row>
    <row r="152" spans="1:178" s="8" customFormat="1" ht="15">
      <c r="A152" s="650" t="s">
        <v>53</v>
      </c>
      <c r="B152" s="646"/>
      <c r="C152" s="377" t="s">
        <v>353</v>
      </c>
      <c r="D152" s="83"/>
      <c r="E152" s="83"/>
      <c r="F152" s="83"/>
      <c r="G152" s="83"/>
      <c r="H152" s="139">
        <f>(((E152*(1+Parâmetros!B11)*(1+Parâmetros!C11)*(1+Parâmetros!D11))+(F152*(1+Parâmetros!C11)*(1+Parâmetros!D11)+(G152*(1+Parâmetros!D11))))/3)*(1+Parâmetros!E11)</f>
        <v>0</v>
      </c>
      <c r="I152" s="155">
        <f>H152*(1+Parâmetros!F11)</f>
        <v>0</v>
      </c>
      <c r="J152" s="155">
        <f>I152*(1+Parâmetros!G11)</f>
        <v>0</v>
      </c>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row>
    <row r="153" spans="1:178" s="8" customFormat="1" ht="15">
      <c r="A153" s="650" t="s">
        <v>53</v>
      </c>
      <c r="B153" s="646"/>
      <c r="C153" s="377" t="s">
        <v>354</v>
      </c>
      <c r="D153" s="83"/>
      <c r="E153" s="83"/>
      <c r="F153" s="83"/>
      <c r="G153" s="83"/>
      <c r="H153" s="139">
        <f>(((E153*(1+Parâmetros!B11)*(1+Parâmetros!C11)*(1+Parâmetros!D11))+(F153*(1+Parâmetros!C11)*(1+Parâmetros!D11)+(G153*(1+Parâmetros!D11))))/3)*(1+Parâmetros!E11)</f>
        <v>0</v>
      </c>
      <c r="I153" s="155">
        <f>H153*(1+Parâmetros!F11)</f>
        <v>0</v>
      </c>
      <c r="J153" s="155">
        <f>I153*(1+Parâmetros!G11)</f>
        <v>0</v>
      </c>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N153" s="93"/>
      <c r="BO153" s="93"/>
      <c r="BP153" s="93"/>
      <c r="BQ153" s="93"/>
      <c r="BR153" s="93"/>
      <c r="BS153" s="93"/>
      <c r="BT153" s="93"/>
      <c r="BU153" s="93"/>
      <c r="BV153" s="93"/>
      <c r="BW153" s="93"/>
      <c r="BX153" s="93"/>
      <c r="BY153" s="93"/>
      <c r="BZ153" s="93"/>
      <c r="CA153" s="93"/>
      <c r="CB153" s="93"/>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row>
    <row r="154" spans="1:178" s="8" customFormat="1" ht="15.75">
      <c r="A154" s="650" t="s">
        <v>53</v>
      </c>
      <c r="B154" s="646"/>
      <c r="C154" s="377" t="s">
        <v>595</v>
      </c>
      <c r="D154" s="83">
        <f>153073.67-153073.67</f>
        <v>0</v>
      </c>
      <c r="E154" s="83">
        <f>73998.14-49239.41</f>
        <v>24758.729999999996</v>
      </c>
      <c r="F154" s="83">
        <f>322295.54-25190.78</f>
        <v>297104.76</v>
      </c>
      <c r="G154" s="83">
        <f>49517.46-49517.46</f>
        <v>0</v>
      </c>
      <c r="H154" s="139">
        <f>((E154+F154+G154)/3)*(1+Parâmetros!E11)</f>
        <v>111686.63102999999</v>
      </c>
      <c r="I154" s="139">
        <f>((F154+G154+H154)/3)*(1+Parâmetros!F11)</f>
        <v>140624.23851432002</v>
      </c>
      <c r="J154" s="139">
        <f>((G154+H154+I154)/3)*(1+Parâmetros!G11)</f>
        <v>86626.7318768832</v>
      </c>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c r="BB154" s="93"/>
      <c r="BC154" s="93"/>
      <c r="BD154" s="93"/>
      <c r="BE154" s="93"/>
      <c r="BF154" s="93"/>
      <c r="BG154" s="93"/>
      <c r="BH154" s="93"/>
      <c r="BI154" s="93"/>
      <c r="BJ154" s="93"/>
      <c r="BK154" s="93"/>
      <c r="BL154" s="93"/>
      <c r="BM154" s="93"/>
      <c r="BN154" s="93"/>
      <c r="BO154" s="93"/>
      <c r="BP154" s="93"/>
      <c r="BQ154" s="93"/>
      <c r="BR154" s="93"/>
      <c r="BS154" s="93"/>
      <c r="BT154" s="93"/>
      <c r="BU154" s="93"/>
      <c r="BV154" s="93"/>
      <c r="BW154" s="93"/>
      <c r="BX154" s="93"/>
      <c r="BY154" s="93"/>
      <c r="BZ154" s="93"/>
      <c r="CA154" s="93"/>
      <c r="CB154" s="93"/>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row>
    <row r="155" spans="1:178" s="8" customFormat="1" ht="15.75">
      <c r="A155" s="650" t="s">
        <v>521</v>
      </c>
      <c r="B155" s="646"/>
      <c r="C155" s="377" t="s">
        <v>528</v>
      </c>
      <c r="D155" s="83">
        <f>82270.36+153073.67</f>
        <v>235344.03000000003</v>
      </c>
      <c r="E155" s="83">
        <f>49239.41</f>
        <v>49239.41</v>
      </c>
      <c r="F155" s="83">
        <f>25190.78</f>
        <v>25190.78</v>
      </c>
      <c r="G155" s="83">
        <f>49517.46</f>
        <v>49517.46</v>
      </c>
      <c r="H155" s="139">
        <f>((E155+F155+G155)/3)*(1+Parâmetros!E11)</f>
        <v>43009.83454999999</v>
      </c>
      <c r="I155" s="139">
        <f>((F155+G155+H155)/3)*(1+Parâmetros!F11)</f>
        <v>40495.017645199994</v>
      </c>
      <c r="J155" s="139">
        <f>((G155+H155+I155)/3)*(1+Parâmetros!G11)</f>
        <v>45670.99385368533</v>
      </c>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BK155" s="93"/>
      <c r="BL155" s="93"/>
      <c r="BM155" s="93"/>
      <c r="BN155" s="93"/>
      <c r="BO155" s="93"/>
      <c r="BP155" s="93"/>
      <c r="BQ155" s="93"/>
      <c r="BR155" s="93"/>
      <c r="BS155" s="93"/>
      <c r="BT155" s="93"/>
      <c r="BU155" s="93"/>
      <c r="BV155" s="93"/>
      <c r="BW155" s="93"/>
      <c r="BX155" s="93"/>
      <c r="BY155" s="93"/>
      <c r="BZ155" s="93"/>
      <c r="CA155" s="93"/>
      <c r="CB155" s="93"/>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row>
    <row r="156" spans="1:178" s="8" customFormat="1" ht="15">
      <c r="A156" s="650" t="s">
        <v>170</v>
      </c>
      <c r="B156" s="646"/>
      <c r="C156" s="377" t="s">
        <v>530</v>
      </c>
      <c r="D156" s="156">
        <v>1.99</v>
      </c>
      <c r="E156" s="156"/>
      <c r="F156" s="156"/>
      <c r="G156" s="156"/>
      <c r="H156" s="155">
        <f>((H110-H17-H28-H73-H96-H98)-(H120+H121+H126+H127+H132+H133+H139+H140+H145+H146+H147+H151+H152+H124+H130+H136+H143+H149+H155+H123+H129+H135+H142+H148+H154))</f>
        <v>3860161.253663391</v>
      </c>
      <c r="I156" s="155">
        <f>((I110-I17-I28-I73-I96-I98)-(I120+I121+I126+I127+I132+I133+I139+I140+I145+I146+I147+I151+I152+I124+I130+I136+I143+I149+I155+I123+I129+I135+I142+I148+I154))</f>
        <v>-3293456.2790809274</v>
      </c>
      <c r="J156" s="155">
        <f>((J110-J17-J28-J73-J96-J98)-(J120+J121+J126+J127+J132+J133+J139+J140+J145+J146+J147+J151+J152+J124+J130+J136+J143+J149+J155+J123+J129+J135+J142+J148+J154))</f>
        <v>-5070905.271074951</v>
      </c>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BK156" s="93"/>
      <c r="BL156" s="93"/>
      <c r="BM156" s="93"/>
      <c r="BN156" s="93"/>
      <c r="BO156" s="93"/>
      <c r="BP156" s="93"/>
      <c r="BQ156" s="93"/>
      <c r="BR156" s="93"/>
      <c r="BS156" s="93"/>
      <c r="BT156" s="93"/>
      <c r="BU156" s="93"/>
      <c r="BV156" s="93"/>
      <c r="BW156" s="93"/>
      <c r="BX156" s="93"/>
      <c r="BY156" s="93"/>
      <c r="BZ156" s="93"/>
      <c r="CA156" s="93"/>
      <c r="CB156" s="93"/>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row>
    <row r="157" spans="1:178" ht="15">
      <c r="A157" s="650" t="s">
        <v>171</v>
      </c>
      <c r="B157" s="646"/>
      <c r="C157" s="377" t="s">
        <v>531</v>
      </c>
      <c r="D157" s="156">
        <v>1.99</v>
      </c>
      <c r="E157" s="156"/>
      <c r="F157" s="156"/>
      <c r="G157" s="156"/>
      <c r="H157" s="155">
        <f>H17+H28+H73+H96+H98-H122-H128-H134-H141-H153</f>
        <v>8082867.670863454</v>
      </c>
      <c r="I157" s="155">
        <f>I17+I28+I73+I96+I98-I122-I128-I134-I141-I153</f>
        <v>8493708.161201434</v>
      </c>
      <c r="J157" s="155">
        <f>J17+J28+J73+J96+J98-J122-J128-J134-J141-J153</f>
        <v>8903349.095590917</v>
      </c>
      <c r="K157" s="79"/>
      <c r="L157" s="79"/>
      <c r="M157" s="79"/>
      <c r="N157" s="79"/>
      <c r="O157" s="79"/>
      <c r="P157" s="79"/>
      <c r="Q157" s="79"/>
      <c r="R157" s="79"/>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row>
    <row r="158" spans="1:178" s="9" customFormat="1" ht="29.25" customHeight="1" thickBot="1">
      <c r="A158" s="353"/>
      <c r="B158" s="353"/>
      <c r="C158" s="100" t="s">
        <v>529</v>
      </c>
      <c r="D158" s="380">
        <f>D118+D137</f>
        <v>113041140.67000002</v>
      </c>
      <c r="E158" s="380">
        <f>E118+E137</f>
        <v>120621960.33999999</v>
      </c>
      <c r="F158" s="380">
        <f>F118+F137</f>
        <v>141970267.42000002</v>
      </c>
      <c r="G158" s="380">
        <f>G118+G137</f>
        <v>163381556</v>
      </c>
      <c r="H158" s="101">
        <f>H118+H137+H156+H157</f>
        <v>186275606.36132634</v>
      </c>
      <c r="I158" s="101">
        <f>I118+I137+I156+I157</f>
        <v>195051930.24407205</v>
      </c>
      <c r="J158" s="101">
        <f>J118+J137+J156+J157</f>
        <v>204478973.65180963</v>
      </c>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c r="CN158" s="96"/>
      <c r="CO158" s="96"/>
      <c r="CP158" s="96"/>
      <c r="CQ158" s="96"/>
      <c r="CR158" s="96"/>
      <c r="CS158" s="96"/>
      <c r="CT158" s="96"/>
      <c r="CU158" s="96"/>
      <c r="CV158" s="96"/>
      <c r="CW158" s="96"/>
      <c r="CX158" s="96"/>
      <c r="CY158" s="96"/>
      <c r="CZ158" s="96"/>
      <c r="DA158" s="96"/>
      <c r="DB158" s="96"/>
      <c r="DC158" s="96"/>
      <c r="DD158" s="96"/>
      <c r="DE158" s="96"/>
      <c r="DF158" s="96"/>
      <c r="DG158" s="96"/>
      <c r="DH158" s="96"/>
      <c r="DI158" s="96"/>
      <c r="DJ158" s="96"/>
      <c r="DK158" s="96"/>
      <c r="DL158" s="96"/>
      <c r="DM158" s="96"/>
      <c r="DN158" s="96"/>
      <c r="DO158" s="96"/>
      <c r="DP158" s="96"/>
      <c r="DQ158" s="96"/>
      <c r="DR158" s="96"/>
      <c r="DS158" s="96"/>
      <c r="DT158" s="96"/>
      <c r="DU158" s="96"/>
      <c r="DV158" s="96"/>
      <c r="DW158" s="96"/>
      <c r="DX158" s="96"/>
      <c r="DY158" s="96"/>
      <c r="DZ158" s="96"/>
      <c r="EA158" s="96"/>
      <c r="EB158" s="96"/>
      <c r="EC158" s="96"/>
      <c r="ED158" s="96"/>
      <c r="EE158" s="96"/>
      <c r="EF158" s="96"/>
      <c r="EG158" s="96"/>
      <c r="EH158" s="96"/>
      <c r="EI158" s="96"/>
      <c r="EJ158" s="96"/>
      <c r="EK158" s="96"/>
      <c r="EL158" s="96"/>
      <c r="EM158" s="96"/>
      <c r="EN158" s="96"/>
      <c r="EO158" s="96"/>
      <c r="EP158" s="96"/>
      <c r="EQ158" s="96"/>
      <c r="ER158" s="96"/>
      <c r="ES158" s="96"/>
      <c r="ET158" s="96"/>
      <c r="EU158" s="96"/>
      <c r="EV158" s="96"/>
      <c r="EW158" s="96"/>
      <c r="EX158" s="96"/>
      <c r="EY158" s="96"/>
      <c r="EZ158" s="96"/>
      <c r="FA158" s="96"/>
      <c r="FB158" s="96"/>
      <c r="FC158" s="96"/>
      <c r="FD158" s="96"/>
      <c r="FE158" s="96"/>
      <c r="FF158" s="96"/>
      <c r="FG158" s="96"/>
      <c r="FH158" s="96"/>
      <c r="FI158" s="96"/>
      <c r="FJ158" s="96"/>
      <c r="FK158" s="96"/>
      <c r="FL158" s="96"/>
      <c r="FM158" s="96"/>
      <c r="FN158" s="96"/>
      <c r="FO158" s="96"/>
      <c r="FP158" s="96"/>
      <c r="FQ158" s="96"/>
      <c r="FR158" s="96"/>
      <c r="FS158" s="96"/>
      <c r="FT158" s="96"/>
      <c r="FU158" s="96"/>
      <c r="FV158" s="96"/>
    </row>
    <row r="159" spans="1:178" s="1" customFormat="1" ht="17.25" customHeight="1" hidden="1">
      <c r="A159" s="20"/>
      <c r="B159" s="365"/>
      <c r="C159" s="24" t="s">
        <v>34</v>
      </c>
      <c r="D159" s="86"/>
      <c r="E159" s="87"/>
      <c r="F159" s="87"/>
      <c r="G159" s="87"/>
      <c r="H159" s="87"/>
      <c r="I159" s="87"/>
      <c r="J159" s="87"/>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91"/>
      <c r="CI159" s="91"/>
      <c r="CJ159" s="91"/>
      <c r="CK159" s="91"/>
      <c r="CL159" s="91"/>
      <c r="CM159" s="91"/>
      <c r="CN159" s="91"/>
      <c r="CO159" s="91"/>
      <c r="CP159" s="91"/>
      <c r="CQ159" s="91"/>
      <c r="CR159" s="91"/>
      <c r="CS159" s="91"/>
      <c r="CT159" s="91"/>
      <c r="CU159" s="91"/>
      <c r="CV159" s="91"/>
      <c r="CW159" s="91"/>
      <c r="CX159" s="91"/>
      <c r="CY159" s="91"/>
      <c r="CZ159" s="91"/>
      <c r="DA159" s="91"/>
      <c r="DB159" s="91"/>
      <c r="DC159" s="91"/>
      <c r="DD159" s="91"/>
      <c r="DE159" s="91"/>
      <c r="DF159" s="91"/>
      <c r="DG159" s="91"/>
      <c r="DH159" s="91"/>
      <c r="DI159" s="91"/>
      <c r="DJ159" s="91"/>
      <c r="DK159" s="91"/>
      <c r="DL159" s="91"/>
      <c r="DM159" s="91"/>
      <c r="DN159" s="91"/>
      <c r="DO159" s="91"/>
      <c r="DP159" s="91"/>
      <c r="DQ159" s="91"/>
      <c r="DR159" s="91"/>
      <c r="DS159" s="91"/>
      <c r="DT159" s="91"/>
      <c r="DU159" s="91"/>
      <c r="DV159" s="91"/>
      <c r="DW159" s="91"/>
      <c r="DX159" s="91"/>
      <c r="DY159" s="91"/>
      <c r="DZ159" s="91"/>
      <c r="EA159" s="91"/>
      <c r="EB159" s="91"/>
      <c r="EC159" s="91"/>
      <c r="ED159" s="91"/>
      <c r="EE159" s="91"/>
      <c r="EF159" s="91"/>
      <c r="EG159" s="91"/>
      <c r="EH159" s="91"/>
      <c r="EI159" s="91"/>
      <c r="EJ159" s="91"/>
      <c r="EK159" s="91"/>
      <c r="EL159" s="91"/>
      <c r="EM159" s="91"/>
      <c r="EN159" s="91"/>
      <c r="EO159" s="91"/>
      <c r="EP159" s="91"/>
      <c r="EQ159" s="91"/>
      <c r="ER159" s="91"/>
      <c r="ES159" s="91"/>
      <c r="ET159" s="91"/>
      <c r="EU159" s="91"/>
      <c r="EV159" s="91"/>
      <c r="EW159" s="91"/>
      <c r="EX159" s="91"/>
      <c r="EY159" s="91"/>
      <c r="EZ159" s="91"/>
      <c r="FA159" s="91"/>
      <c r="FB159" s="91"/>
      <c r="FC159" s="91"/>
      <c r="FD159" s="91"/>
      <c r="FE159" s="91"/>
      <c r="FF159" s="91"/>
      <c r="FG159" s="91"/>
      <c r="FH159" s="91"/>
      <c r="FI159" s="91"/>
      <c r="FJ159" s="91"/>
      <c r="FK159" s="91"/>
      <c r="FL159" s="91"/>
      <c r="FM159" s="91"/>
      <c r="FN159" s="91"/>
      <c r="FO159" s="91"/>
      <c r="FP159" s="91"/>
      <c r="FQ159" s="91"/>
      <c r="FR159" s="91"/>
      <c r="FS159" s="91"/>
      <c r="FT159" s="91"/>
      <c r="FU159" s="91"/>
      <c r="FV159" s="91"/>
    </row>
    <row r="160" spans="1:178" s="1" customFormat="1" ht="17.25" customHeight="1" hidden="1">
      <c r="A160" s="21"/>
      <c r="B160" s="357"/>
      <c r="C160" s="22" t="s">
        <v>7</v>
      </c>
      <c r="D160" s="23" t="s">
        <v>9</v>
      </c>
      <c r="E160" s="23" t="e">
        <f>IF(#REF!&gt;0,"REALIZADO","PROJETADO")</f>
        <v>#REF!</v>
      </c>
      <c r="F160" s="23" t="e">
        <f>IF(#REF!&gt;0,"REALIZADO","PROJETADO")</f>
        <v>#REF!</v>
      </c>
      <c r="G160" s="23" t="e">
        <f>IF(#REF!&gt;0,"REALIZADO","PROJETADO")</f>
        <v>#REF!</v>
      </c>
      <c r="H160" s="23" t="s">
        <v>12</v>
      </c>
      <c r="I160" s="23"/>
      <c r="J160" s="23" t="s">
        <v>12</v>
      </c>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91"/>
      <c r="CI160" s="91"/>
      <c r="CJ160" s="91"/>
      <c r="CK160" s="91"/>
      <c r="CL160" s="91"/>
      <c r="CM160" s="91"/>
      <c r="CN160" s="91"/>
      <c r="CO160" s="91"/>
      <c r="CP160" s="91"/>
      <c r="CQ160" s="91"/>
      <c r="CR160" s="91"/>
      <c r="CS160" s="91"/>
      <c r="CT160" s="91"/>
      <c r="CU160" s="91"/>
      <c r="CV160" s="91"/>
      <c r="CW160" s="91"/>
      <c r="CX160" s="91"/>
      <c r="CY160" s="91"/>
      <c r="CZ160" s="91"/>
      <c r="DA160" s="91"/>
      <c r="DB160" s="91"/>
      <c r="DC160" s="91"/>
      <c r="DD160" s="91"/>
      <c r="DE160" s="91"/>
      <c r="DF160" s="91"/>
      <c r="DG160" s="91"/>
      <c r="DH160" s="91"/>
      <c r="DI160" s="91"/>
      <c r="DJ160" s="91"/>
      <c r="DK160" s="91"/>
      <c r="DL160" s="91"/>
      <c r="DM160" s="91"/>
      <c r="DN160" s="91"/>
      <c r="DO160" s="91"/>
      <c r="DP160" s="91"/>
      <c r="DQ160" s="91"/>
      <c r="DR160" s="91"/>
      <c r="DS160" s="91"/>
      <c r="DT160" s="91"/>
      <c r="DU160" s="91"/>
      <c r="DV160" s="91"/>
      <c r="DW160" s="91"/>
      <c r="DX160" s="91"/>
      <c r="DY160" s="91"/>
      <c r="DZ160" s="91"/>
      <c r="EA160" s="91"/>
      <c r="EB160" s="91"/>
      <c r="EC160" s="91"/>
      <c r="ED160" s="91"/>
      <c r="EE160" s="91"/>
      <c r="EF160" s="91"/>
      <c r="EG160" s="91"/>
      <c r="EH160" s="91"/>
      <c r="EI160" s="91"/>
      <c r="EJ160" s="91"/>
      <c r="EK160" s="91"/>
      <c r="EL160" s="91"/>
      <c r="EM160" s="91"/>
      <c r="EN160" s="91"/>
      <c r="EO160" s="91"/>
      <c r="EP160" s="91"/>
      <c r="EQ160" s="91"/>
      <c r="ER160" s="91"/>
      <c r="ES160" s="91"/>
      <c r="ET160" s="91"/>
      <c r="EU160" s="91"/>
      <c r="EV160" s="91"/>
      <c r="EW160" s="91"/>
      <c r="EX160" s="91"/>
      <c r="EY160" s="91"/>
      <c r="EZ160" s="91"/>
      <c r="FA160" s="91"/>
      <c r="FB160" s="91"/>
      <c r="FC160" s="91"/>
      <c r="FD160" s="91"/>
      <c r="FE160" s="91"/>
      <c r="FF160" s="91"/>
      <c r="FG160" s="91"/>
      <c r="FH160" s="91"/>
      <c r="FI160" s="91"/>
      <c r="FJ160" s="91"/>
      <c r="FK160" s="91"/>
      <c r="FL160" s="91"/>
      <c r="FM160" s="91"/>
      <c r="FN160" s="91"/>
      <c r="FO160" s="91"/>
      <c r="FP160" s="91"/>
      <c r="FQ160" s="91"/>
      <c r="FR160" s="91"/>
      <c r="FS160" s="91"/>
      <c r="FT160" s="91"/>
      <c r="FU160" s="91"/>
      <c r="FV160" s="91"/>
    </row>
    <row r="161" spans="1:178" s="1" customFormat="1" ht="17.25" customHeight="1" hidden="1">
      <c r="A161" s="21"/>
      <c r="B161" s="357"/>
      <c r="C161" s="88" t="s">
        <v>6</v>
      </c>
      <c r="D161" s="89">
        <v>1999</v>
      </c>
      <c r="E161" s="89">
        <v>2000</v>
      </c>
      <c r="F161" s="89">
        <v>2001</v>
      </c>
      <c r="G161" s="89">
        <v>2002</v>
      </c>
      <c r="H161" s="89">
        <v>2003</v>
      </c>
      <c r="I161" s="89"/>
      <c r="J161" s="89">
        <v>2004</v>
      </c>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91"/>
      <c r="CI161" s="91"/>
      <c r="CJ161" s="91"/>
      <c r="CK161" s="91"/>
      <c r="CL161" s="91"/>
      <c r="CM161" s="91"/>
      <c r="CN161" s="91"/>
      <c r="CO161" s="91"/>
      <c r="CP161" s="91"/>
      <c r="CQ161" s="91"/>
      <c r="CR161" s="91"/>
      <c r="CS161" s="91"/>
      <c r="CT161" s="91"/>
      <c r="CU161" s="91"/>
      <c r="CV161" s="91"/>
      <c r="CW161" s="91"/>
      <c r="CX161" s="91"/>
      <c r="CY161" s="91"/>
      <c r="CZ161" s="91"/>
      <c r="DA161" s="91"/>
      <c r="DB161" s="91"/>
      <c r="DC161" s="91"/>
      <c r="DD161" s="91"/>
      <c r="DE161" s="91"/>
      <c r="DF161" s="91"/>
      <c r="DG161" s="91"/>
      <c r="DH161" s="91"/>
      <c r="DI161" s="91"/>
      <c r="DJ161" s="91"/>
      <c r="DK161" s="91"/>
      <c r="DL161" s="91"/>
      <c r="DM161" s="91"/>
      <c r="DN161" s="91"/>
      <c r="DO161" s="91"/>
      <c r="DP161" s="91"/>
      <c r="DQ161" s="91"/>
      <c r="DR161" s="91"/>
      <c r="DS161" s="91"/>
      <c r="DT161" s="91"/>
      <c r="DU161" s="91"/>
      <c r="DV161" s="91"/>
      <c r="DW161" s="91"/>
      <c r="DX161" s="91"/>
      <c r="DY161" s="91"/>
      <c r="DZ161" s="91"/>
      <c r="EA161" s="91"/>
      <c r="EB161" s="91"/>
      <c r="EC161" s="91"/>
      <c r="ED161" s="91"/>
      <c r="EE161" s="91"/>
      <c r="EF161" s="91"/>
      <c r="EG161" s="91"/>
      <c r="EH161" s="91"/>
      <c r="EI161" s="91"/>
      <c r="EJ161" s="91"/>
      <c r="EK161" s="91"/>
      <c r="EL161" s="91"/>
      <c r="EM161" s="91"/>
      <c r="EN161" s="91"/>
      <c r="EO161" s="91"/>
      <c r="EP161" s="91"/>
      <c r="EQ161" s="91"/>
      <c r="ER161" s="91"/>
      <c r="ES161" s="91"/>
      <c r="ET161" s="91"/>
      <c r="EU161" s="91"/>
      <c r="EV161" s="91"/>
      <c r="EW161" s="91"/>
      <c r="EX161" s="91"/>
      <c r="EY161" s="91"/>
      <c r="EZ161" s="91"/>
      <c r="FA161" s="91"/>
      <c r="FB161" s="91"/>
      <c r="FC161" s="91"/>
      <c r="FD161" s="91"/>
      <c r="FE161" s="91"/>
      <c r="FF161" s="91"/>
      <c r="FG161" s="91"/>
      <c r="FH161" s="91"/>
      <c r="FI161" s="91"/>
      <c r="FJ161" s="91"/>
      <c r="FK161" s="91"/>
      <c r="FL161" s="91"/>
      <c r="FM161" s="91"/>
      <c r="FN161" s="91"/>
      <c r="FO161" s="91"/>
      <c r="FP161" s="91"/>
      <c r="FQ161" s="91"/>
      <c r="FR161" s="91"/>
      <c r="FS161" s="91"/>
      <c r="FT161" s="91"/>
      <c r="FU161" s="91"/>
      <c r="FV161" s="91"/>
    </row>
    <row r="162" spans="1:178" s="1" customFormat="1" ht="17.25" customHeight="1" hidden="1">
      <c r="A162" s="21"/>
      <c r="B162" s="357"/>
      <c r="C162" s="24"/>
      <c r="D162" s="25"/>
      <c r="E162" s="25"/>
      <c r="F162" s="25"/>
      <c r="G162" s="25"/>
      <c r="H162" s="25"/>
      <c r="I162" s="25"/>
      <c r="J162" s="25"/>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91"/>
      <c r="CI162" s="91"/>
      <c r="CJ162" s="91"/>
      <c r="CK162" s="91"/>
      <c r="CL162" s="91"/>
      <c r="CM162" s="91"/>
      <c r="CN162" s="91"/>
      <c r="CO162" s="91"/>
      <c r="CP162" s="91"/>
      <c r="CQ162" s="91"/>
      <c r="CR162" s="91"/>
      <c r="CS162" s="91"/>
      <c r="CT162" s="91"/>
      <c r="CU162" s="91"/>
      <c r="CV162" s="91"/>
      <c r="CW162" s="91"/>
      <c r="CX162" s="91"/>
      <c r="CY162" s="91"/>
      <c r="CZ162" s="91"/>
      <c r="DA162" s="91"/>
      <c r="DB162" s="91"/>
      <c r="DC162" s="91"/>
      <c r="DD162" s="91"/>
      <c r="DE162" s="91"/>
      <c r="DF162" s="91"/>
      <c r="DG162" s="91"/>
      <c r="DH162" s="91"/>
      <c r="DI162" s="91"/>
      <c r="DJ162" s="91"/>
      <c r="DK162" s="91"/>
      <c r="DL162" s="91"/>
      <c r="DM162" s="91"/>
      <c r="DN162" s="91"/>
      <c r="DO162" s="91"/>
      <c r="DP162" s="91"/>
      <c r="DQ162" s="91"/>
      <c r="DR162" s="91"/>
      <c r="DS162" s="91"/>
      <c r="DT162" s="91"/>
      <c r="DU162" s="91"/>
      <c r="DV162" s="91"/>
      <c r="DW162" s="91"/>
      <c r="DX162" s="91"/>
      <c r="DY162" s="91"/>
      <c r="DZ162" s="91"/>
      <c r="EA162" s="91"/>
      <c r="EB162" s="91"/>
      <c r="EC162" s="91"/>
      <c r="ED162" s="91"/>
      <c r="EE162" s="91"/>
      <c r="EF162" s="91"/>
      <c r="EG162" s="91"/>
      <c r="EH162" s="91"/>
      <c r="EI162" s="91"/>
      <c r="EJ162" s="91"/>
      <c r="EK162" s="91"/>
      <c r="EL162" s="91"/>
      <c r="EM162" s="91"/>
      <c r="EN162" s="91"/>
      <c r="EO162" s="91"/>
      <c r="EP162" s="91"/>
      <c r="EQ162" s="91"/>
      <c r="ER162" s="91"/>
      <c r="ES162" s="91"/>
      <c r="ET162" s="91"/>
      <c r="EU162" s="91"/>
      <c r="EV162" s="91"/>
      <c r="EW162" s="91"/>
      <c r="EX162" s="91"/>
      <c r="EY162" s="91"/>
      <c r="EZ162" s="91"/>
      <c r="FA162" s="91"/>
      <c r="FB162" s="91"/>
      <c r="FC162" s="91"/>
      <c r="FD162" s="91"/>
      <c r="FE162" s="91"/>
      <c r="FF162" s="91"/>
      <c r="FG162" s="91"/>
      <c r="FH162" s="91"/>
      <c r="FI162" s="91"/>
      <c r="FJ162" s="91"/>
      <c r="FK162" s="91"/>
      <c r="FL162" s="91"/>
      <c r="FM162" s="91"/>
      <c r="FN162" s="91"/>
      <c r="FO162" s="91"/>
      <c r="FP162" s="91"/>
      <c r="FQ162" s="91"/>
      <c r="FR162" s="91"/>
      <c r="FS162" s="91"/>
      <c r="FT162" s="91"/>
      <c r="FU162" s="91"/>
      <c r="FV162" s="91"/>
    </row>
    <row r="163" spans="1:178" s="1" customFormat="1" ht="16.5" hidden="1" thickBot="1">
      <c r="A163" s="21"/>
      <c r="B163" s="357"/>
      <c r="C163" s="24" t="s">
        <v>14</v>
      </c>
      <c r="D163" s="26" t="e">
        <f>D8-#REF!-D14+D167-#REF!</f>
        <v>#REF!</v>
      </c>
      <c r="E163" s="26" t="e">
        <f>E8-#REF!-E14+E167-#REF!</f>
        <v>#REF!</v>
      </c>
      <c r="F163" s="26" t="e">
        <f>F8-#REF!-F14+F167-#REF!</f>
        <v>#REF!</v>
      </c>
      <c r="G163" s="26" t="e">
        <f>G8-#REF!-G14+G167-#REF!</f>
        <v>#REF!</v>
      </c>
      <c r="H163" s="26" t="e">
        <f>H8-#REF!-H14+H167-#REF!</f>
        <v>#REF!</v>
      </c>
      <c r="I163" s="26"/>
      <c r="J163" s="26" t="e">
        <f>J8-#REF!-J14+J167-#REF!</f>
        <v>#REF!</v>
      </c>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91"/>
      <c r="CI163" s="91"/>
      <c r="CJ163" s="91"/>
      <c r="CK163" s="91"/>
      <c r="CL163" s="91"/>
      <c r="CM163" s="91"/>
      <c r="CN163" s="91"/>
      <c r="CO163" s="91"/>
      <c r="CP163" s="91"/>
      <c r="CQ163" s="91"/>
      <c r="CR163" s="91"/>
      <c r="CS163" s="91"/>
      <c r="CT163" s="91"/>
      <c r="CU163" s="91"/>
      <c r="CV163" s="91"/>
      <c r="CW163" s="91"/>
      <c r="CX163" s="91"/>
      <c r="CY163" s="91"/>
      <c r="CZ163" s="91"/>
      <c r="DA163" s="91"/>
      <c r="DB163" s="91"/>
      <c r="DC163" s="91"/>
      <c r="DD163" s="91"/>
      <c r="DE163" s="91"/>
      <c r="DF163" s="91"/>
      <c r="DG163" s="91"/>
      <c r="DH163" s="91"/>
      <c r="DI163" s="91"/>
      <c r="DJ163" s="91"/>
      <c r="DK163" s="91"/>
      <c r="DL163" s="91"/>
      <c r="DM163" s="91"/>
      <c r="DN163" s="91"/>
      <c r="DO163" s="91"/>
      <c r="DP163" s="91"/>
      <c r="DQ163" s="91"/>
      <c r="DR163" s="91"/>
      <c r="DS163" s="91"/>
      <c r="DT163" s="91"/>
      <c r="DU163" s="91"/>
      <c r="DV163" s="91"/>
      <c r="DW163" s="91"/>
      <c r="DX163" s="91"/>
      <c r="DY163" s="91"/>
      <c r="DZ163" s="91"/>
      <c r="EA163" s="91"/>
      <c r="EB163" s="91"/>
      <c r="EC163" s="91"/>
      <c r="ED163" s="91"/>
      <c r="EE163" s="91"/>
      <c r="EF163" s="91"/>
      <c r="EG163" s="91"/>
      <c r="EH163" s="91"/>
      <c r="EI163" s="91"/>
      <c r="EJ163" s="91"/>
      <c r="EK163" s="91"/>
      <c r="EL163" s="91"/>
      <c r="EM163" s="91"/>
      <c r="EN163" s="91"/>
      <c r="EO163" s="91"/>
      <c r="EP163" s="91"/>
      <c r="EQ163" s="91"/>
      <c r="ER163" s="91"/>
      <c r="ES163" s="91"/>
      <c r="ET163" s="91"/>
      <c r="EU163" s="91"/>
      <c r="EV163" s="91"/>
      <c r="EW163" s="91"/>
      <c r="EX163" s="91"/>
      <c r="EY163" s="91"/>
      <c r="EZ163" s="91"/>
      <c r="FA163" s="91"/>
      <c r="FB163" s="91"/>
      <c r="FC163" s="91"/>
      <c r="FD163" s="91"/>
      <c r="FE163" s="91"/>
      <c r="FF163" s="91"/>
      <c r="FG163" s="91"/>
      <c r="FH163" s="91"/>
      <c r="FI163" s="91"/>
      <c r="FJ163" s="91"/>
      <c r="FK163" s="91"/>
      <c r="FL163" s="91"/>
      <c r="FM163" s="91"/>
      <c r="FN163" s="91"/>
      <c r="FO163" s="91"/>
      <c r="FP163" s="91"/>
      <c r="FQ163" s="91"/>
      <c r="FR163" s="91"/>
      <c r="FS163" s="91"/>
      <c r="FT163" s="91"/>
      <c r="FU163" s="91"/>
      <c r="FV163" s="91"/>
    </row>
    <row r="164" spans="1:178" s="1" customFormat="1" ht="16.5" hidden="1" thickBot="1">
      <c r="A164" s="21"/>
      <c r="B164" s="357"/>
      <c r="C164" s="24" t="s">
        <v>15</v>
      </c>
      <c r="D164" s="26">
        <f>D9</f>
        <v>13164313.44</v>
      </c>
      <c r="E164" s="26">
        <f>E9</f>
        <v>11024380.97</v>
      </c>
      <c r="F164" s="26">
        <f>F9</f>
        <v>15524582.18</v>
      </c>
      <c r="G164" s="26">
        <f>G9</f>
        <v>14478704.84</v>
      </c>
      <c r="H164" s="26">
        <f>H9</f>
        <v>16231466.26824196</v>
      </c>
      <c r="I164" s="26"/>
      <c r="J164" s="26">
        <f>J9</f>
        <v>16908048.255558062</v>
      </c>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91"/>
      <c r="CI164" s="91"/>
      <c r="CJ164" s="91"/>
      <c r="CK164" s="91"/>
      <c r="CL164" s="91"/>
      <c r="CM164" s="91"/>
      <c r="CN164" s="91"/>
      <c r="CO164" s="91"/>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91"/>
      <c r="DL164" s="91"/>
      <c r="DM164" s="91"/>
      <c r="DN164" s="91"/>
      <c r="DO164" s="91"/>
      <c r="DP164" s="91"/>
      <c r="DQ164" s="91"/>
      <c r="DR164" s="91"/>
      <c r="DS164" s="91"/>
      <c r="DT164" s="91"/>
      <c r="DU164" s="91"/>
      <c r="DV164" s="91"/>
      <c r="DW164" s="91"/>
      <c r="DX164" s="91"/>
      <c r="DY164" s="91"/>
      <c r="DZ164" s="91"/>
      <c r="EA164" s="91"/>
      <c r="EB164" s="91"/>
      <c r="EC164" s="91"/>
      <c r="ED164" s="91"/>
      <c r="EE164" s="91"/>
      <c r="EF164" s="91"/>
      <c r="EG164" s="91"/>
      <c r="EH164" s="91"/>
      <c r="EI164" s="91"/>
      <c r="EJ164" s="91"/>
      <c r="EK164" s="91"/>
      <c r="EL164" s="91"/>
      <c r="EM164" s="91"/>
      <c r="EN164" s="91"/>
      <c r="EO164" s="91"/>
      <c r="EP164" s="91"/>
      <c r="EQ164" s="91"/>
      <c r="ER164" s="91"/>
      <c r="ES164" s="91"/>
      <c r="ET164" s="91"/>
      <c r="EU164" s="91"/>
      <c r="EV164" s="91"/>
      <c r="EW164" s="91"/>
      <c r="EX164" s="91"/>
      <c r="EY164" s="91"/>
      <c r="EZ164" s="91"/>
      <c r="FA164" s="91"/>
      <c r="FB164" s="91"/>
      <c r="FC164" s="91"/>
      <c r="FD164" s="91"/>
      <c r="FE164" s="91"/>
      <c r="FF164" s="91"/>
      <c r="FG164" s="91"/>
      <c r="FH164" s="91"/>
      <c r="FI164" s="91"/>
      <c r="FJ164" s="91"/>
      <c r="FK164" s="91"/>
      <c r="FL164" s="91"/>
      <c r="FM164" s="91"/>
      <c r="FN164" s="91"/>
      <c r="FO164" s="91"/>
      <c r="FP164" s="91"/>
      <c r="FQ164" s="91"/>
      <c r="FR164" s="91"/>
      <c r="FS164" s="91"/>
      <c r="FT164" s="91"/>
      <c r="FU164" s="91"/>
      <c r="FV164" s="91"/>
    </row>
    <row r="165" spans="1:178" s="1" customFormat="1" ht="16.5" hidden="1" thickBot="1">
      <c r="A165" s="21"/>
      <c r="B165" s="357"/>
      <c r="C165" s="24" t="s">
        <v>16</v>
      </c>
      <c r="D165" s="26" t="e">
        <f>D19+D20+D21+#REF!+#REF!+#REF!+#REF!</f>
        <v>#REF!</v>
      </c>
      <c r="E165" s="26" t="e">
        <f>E19+E20+E21+#REF!+#REF!+#REF!+#REF!</f>
        <v>#REF!</v>
      </c>
      <c r="F165" s="26" t="e">
        <f>F19+F20+F21+#REF!+#REF!+#REF!+#REF!</f>
        <v>#REF!</v>
      </c>
      <c r="G165" s="26" t="e">
        <f>G19+G20+G21+#REF!+#REF!+#REF!+#REF!</f>
        <v>#REF!</v>
      </c>
      <c r="H165" s="26" t="e">
        <f>H19+H20+H21+#REF!+#REF!+#REF!+#REF!</f>
        <v>#REF!</v>
      </c>
      <c r="I165" s="26"/>
      <c r="J165" s="26" t="e">
        <f>J19+J20+J21+#REF!+#REF!+#REF!+#REF!</f>
        <v>#REF!</v>
      </c>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91"/>
      <c r="CI165" s="91"/>
      <c r="CJ165" s="91"/>
      <c r="CK165" s="91"/>
      <c r="CL165" s="91"/>
      <c r="CM165" s="91"/>
      <c r="CN165" s="91"/>
      <c r="CO165" s="91"/>
      <c r="CP165" s="91"/>
      <c r="CQ165" s="91"/>
      <c r="CR165" s="91"/>
      <c r="CS165" s="91"/>
      <c r="CT165" s="91"/>
      <c r="CU165" s="91"/>
      <c r="CV165" s="91"/>
      <c r="CW165" s="91"/>
      <c r="CX165" s="91"/>
      <c r="CY165" s="91"/>
      <c r="CZ165" s="91"/>
      <c r="DA165" s="91"/>
      <c r="DB165" s="91"/>
      <c r="DC165" s="91"/>
      <c r="DD165" s="91"/>
      <c r="DE165" s="91"/>
      <c r="DF165" s="91"/>
      <c r="DG165" s="91"/>
      <c r="DH165" s="91"/>
      <c r="DI165" s="91"/>
      <c r="DJ165" s="91"/>
      <c r="DK165" s="91"/>
      <c r="DL165" s="91"/>
      <c r="DM165" s="91"/>
      <c r="DN165" s="91"/>
      <c r="DO165" s="91"/>
      <c r="DP165" s="91"/>
      <c r="DQ165" s="91"/>
      <c r="DR165" s="91"/>
      <c r="DS165" s="91"/>
      <c r="DT165" s="91"/>
      <c r="DU165" s="91"/>
      <c r="DV165" s="91"/>
      <c r="DW165" s="91"/>
      <c r="DX165" s="91"/>
      <c r="DY165" s="91"/>
      <c r="DZ165" s="91"/>
      <c r="EA165" s="91"/>
      <c r="EB165" s="91"/>
      <c r="EC165" s="91"/>
      <c r="ED165" s="91"/>
      <c r="EE165" s="91"/>
      <c r="EF165" s="91"/>
      <c r="EG165" s="91"/>
      <c r="EH165" s="91"/>
      <c r="EI165" s="91"/>
      <c r="EJ165" s="91"/>
      <c r="EK165" s="91"/>
      <c r="EL165" s="91"/>
      <c r="EM165" s="91"/>
      <c r="EN165" s="91"/>
      <c r="EO165" s="91"/>
      <c r="EP165" s="91"/>
      <c r="EQ165" s="91"/>
      <c r="ER165" s="91"/>
      <c r="ES165" s="91"/>
      <c r="ET165" s="91"/>
      <c r="EU165" s="91"/>
      <c r="EV165" s="91"/>
      <c r="EW165" s="91"/>
      <c r="EX165" s="91"/>
      <c r="EY165" s="91"/>
      <c r="EZ165" s="91"/>
      <c r="FA165" s="91"/>
      <c r="FB165" s="91"/>
      <c r="FC165" s="91"/>
      <c r="FD165" s="91"/>
      <c r="FE165" s="91"/>
      <c r="FF165" s="91"/>
      <c r="FG165" s="91"/>
      <c r="FH165" s="91"/>
      <c r="FI165" s="91"/>
      <c r="FJ165" s="91"/>
      <c r="FK165" s="91"/>
      <c r="FL165" s="91"/>
      <c r="FM165" s="91"/>
      <c r="FN165" s="91"/>
      <c r="FO165" s="91"/>
      <c r="FP165" s="91"/>
      <c r="FQ165" s="91"/>
      <c r="FR165" s="91"/>
      <c r="FS165" s="91"/>
      <c r="FT165" s="91"/>
      <c r="FU165" s="91"/>
      <c r="FV165" s="91"/>
    </row>
    <row r="166" spans="1:178" s="1" customFormat="1" ht="16.5" hidden="1" thickBot="1">
      <c r="A166" s="21"/>
      <c r="B166" s="357"/>
      <c r="C166" s="24" t="s">
        <v>17</v>
      </c>
      <c r="D166" s="26" t="e">
        <f>#REF!</f>
        <v>#REF!</v>
      </c>
      <c r="E166" s="26" t="e">
        <f>#REF!</f>
        <v>#REF!</v>
      </c>
      <c r="F166" s="26" t="e">
        <f>#REF!</f>
        <v>#REF!</v>
      </c>
      <c r="G166" s="26" t="e">
        <f>#REF!</f>
        <v>#REF!</v>
      </c>
      <c r="H166" s="26" t="e">
        <f>#REF!</f>
        <v>#REF!</v>
      </c>
      <c r="I166" s="26"/>
      <c r="J166" s="26" t="e">
        <f>#REF!</f>
        <v>#REF!</v>
      </c>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91"/>
      <c r="CI166" s="91"/>
      <c r="CJ166" s="91"/>
      <c r="CK166" s="91"/>
      <c r="CL166" s="91"/>
      <c r="CM166" s="91"/>
      <c r="CN166" s="91"/>
      <c r="CO166" s="91"/>
      <c r="CP166" s="91"/>
      <c r="CQ166" s="91"/>
      <c r="CR166" s="91"/>
      <c r="CS166" s="91"/>
      <c r="CT166" s="91"/>
      <c r="CU166" s="91"/>
      <c r="CV166" s="91"/>
      <c r="CW166" s="91"/>
      <c r="CX166" s="91"/>
      <c r="CY166" s="91"/>
      <c r="CZ166" s="91"/>
      <c r="DA166" s="91"/>
      <c r="DB166" s="91"/>
      <c r="DC166" s="91"/>
      <c r="DD166" s="91"/>
      <c r="DE166" s="91"/>
      <c r="DF166" s="91"/>
      <c r="DG166" s="91"/>
      <c r="DH166" s="91"/>
      <c r="DI166" s="91"/>
      <c r="DJ166" s="91"/>
      <c r="DK166" s="91"/>
      <c r="DL166" s="91"/>
      <c r="DM166" s="91"/>
      <c r="DN166" s="91"/>
      <c r="DO166" s="91"/>
      <c r="DP166" s="91"/>
      <c r="DQ166" s="91"/>
      <c r="DR166" s="91"/>
      <c r="DS166" s="91"/>
      <c r="DT166" s="91"/>
      <c r="DU166" s="91"/>
      <c r="DV166" s="91"/>
      <c r="DW166" s="91"/>
      <c r="DX166" s="91"/>
      <c r="DY166" s="91"/>
      <c r="DZ166" s="91"/>
      <c r="EA166" s="91"/>
      <c r="EB166" s="91"/>
      <c r="EC166" s="91"/>
      <c r="ED166" s="91"/>
      <c r="EE166" s="91"/>
      <c r="EF166" s="91"/>
      <c r="EG166" s="91"/>
      <c r="EH166" s="91"/>
      <c r="EI166" s="91"/>
      <c r="EJ166" s="91"/>
      <c r="EK166" s="91"/>
      <c r="EL166" s="91"/>
      <c r="EM166" s="91"/>
      <c r="EN166" s="91"/>
      <c r="EO166" s="91"/>
      <c r="EP166" s="91"/>
      <c r="EQ166" s="91"/>
      <c r="ER166" s="91"/>
      <c r="ES166" s="91"/>
      <c r="ET166" s="91"/>
      <c r="EU166" s="91"/>
      <c r="EV166" s="91"/>
      <c r="EW166" s="91"/>
      <c r="EX166" s="91"/>
      <c r="EY166" s="91"/>
      <c r="EZ166" s="91"/>
      <c r="FA166" s="91"/>
      <c r="FB166" s="91"/>
      <c r="FC166" s="91"/>
      <c r="FD166" s="91"/>
      <c r="FE166" s="91"/>
      <c r="FF166" s="91"/>
      <c r="FG166" s="91"/>
      <c r="FH166" s="91"/>
      <c r="FI166" s="91"/>
      <c r="FJ166" s="91"/>
      <c r="FK166" s="91"/>
      <c r="FL166" s="91"/>
      <c r="FM166" s="91"/>
      <c r="FN166" s="91"/>
      <c r="FO166" s="91"/>
      <c r="FP166" s="91"/>
      <c r="FQ166" s="91"/>
      <c r="FR166" s="91"/>
      <c r="FS166" s="91"/>
      <c r="FT166" s="91"/>
      <c r="FU166" s="91"/>
      <c r="FV166" s="91"/>
    </row>
    <row r="167" spans="1:178" s="1" customFormat="1" ht="16.5" hidden="1" thickBot="1">
      <c r="A167" s="21"/>
      <c r="B167" s="357"/>
      <c r="C167" s="24" t="s">
        <v>18</v>
      </c>
      <c r="D167" s="26" t="e">
        <f>#REF!-#REF!</f>
        <v>#REF!</v>
      </c>
      <c r="E167" s="26" t="e">
        <f>#REF!-#REF!</f>
        <v>#REF!</v>
      </c>
      <c r="F167" s="26" t="e">
        <f>#REF!-#REF!</f>
        <v>#REF!</v>
      </c>
      <c r="G167" s="26" t="e">
        <f>#REF!-#REF!</f>
        <v>#REF!</v>
      </c>
      <c r="H167" s="26" t="e">
        <f>#REF!-#REF!</f>
        <v>#REF!</v>
      </c>
      <c r="I167" s="26"/>
      <c r="J167" s="26" t="e">
        <f>#REF!-#REF!</f>
        <v>#REF!</v>
      </c>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91"/>
      <c r="CI167" s="91"/>
      <c r="CJ167" s="91"/>
      <c r="CK167" s="91"/>
      <c r="CL167" s="91"/>
      <c r="CM167" s="91"/>
      <c r="CN167" s="91"/>
      <c r="CO167" s="91"/>
      <c r="CP167" s="91"/>
      <c r="CQ167" s="91"/>
      <c r="CR167" s="91"/>
      <c r="CS167" s="91"/>
      <c r="CT167" s="91"/>
      <c r="CU167" s="91"/>
      <c r="CV167" s="91"/>
      <c r="CW167" s="91"/>
      <c r="CX167" s="91"/>
      <c r="CY167" s="91"/>
      <c r="CZ167" s="91"/>
      <c r="DA167" s="91"/>
      <c r="DB167" s="91"/>
      <c r="DC167" s="91"/>
      <c r="DD167" s="91"/>
      <c r="DE167" s="91"/>
      <c r="DF167" s="91"/>
      <c r="DG167" s="91"/>
      <c r="DH167" s="91"/>
      <c r="DI167" s="91"/>
      <c r="DJ167" s="91"/>
      <c r="DK167" s="91"/>
      <c r="DL167" s="91"/>
      <c r="DM167" s="91"/>
      <c r="DN167" s="91"/>
      <c r="DO167" s="91"/>
      <c r="DP167" s="91"/>
      <c r="DQ167" s="91"/>
      <c r="DR167" s="91"/>
      <c r="DS167" s="91"/>
      <c r="DT167" s="91"/>
      <c r="DU167" s="91"/>
      <c r="DV167" s="91"/>
      <c r="DW167" s="91"/>
      <c r="DX167" s="91"/>
      <c r="DY167" s="91"/>
      <c r="DZ167" s="91"/>
      <c r="EA167" s="91"/>
      <c r="EB167" s="91"/>
      <c r="EC167" s="91"/>
      <c r="ED167" s="91"/>
      <c r="EE167" s="91"/>
      <c r="EF167" s="91"/>
      <c r="EG167" s="91"/>
      <c r="EH167" s="91"/>
      <c r="EI167" s="91"/>
      <c r="EJ167" s="91"/>
      <c r="EK167" s="91"/>
      <c r="EL167" s="91"/>
      <c r="EM167" s="91"/>
      <c r="EN167" s="91"/>
      <c r="EO167" s="91"/>
      <c r="EP167" s="91"/>
      <c r="EQ167" s="91"/>
      <c r="ER167" s="91"/>
      <c r="ES167" s="91"/>
      <c r="ET167" s="91"/>
      <c r="EU167" s="91"/>
      <c r="EV167" s="91"/>
      <c r="EW167" s="91"/>
      <c r="EX167" s="91"/>
      <c r="EY167" s="91"/>
      <c r="EZ167" s="91"/>
      <c r="FA167" s="91"/>
      <c r="FB167" s="91"/>
      <c r="FC167" s="91"/>
      <c r="FD167" s="91"/>
      <c r="FE167" s="91"/>
      <c r="FF167" s="91"/>
      <c r="FG167" s="91"/>
      <c r="FH167" s="91"/>
      <c r="FI167" s="91"/>
      <c r="FJ167" s="91"/>
      <c r="FK167" s="91"/>
      <c r="FL167" s="91"/>
      <c r="FM167" s="91"/>
      <c r="FN167" s="91"/>
      <c r="FO167" s="91"/>
      <c r="FP167" s="91"/>
      <c r="FQ167" s="91"/>
      <c r="FR167" s="91"/>
      <c r="FS167" s="91"/>
      <c r="FT167" s="91"/>
      <c r="FU167" s="91"/>
      <c r="FV167" s="91"/>
    </row>
    <row r="168" spans="1:178" s="1" customFormat="1" ht="16.5" hidden="1" thickBot="1">
      <c r="A168" s="21"/>
      <c r="B168" s="357"/>
      <c r="C168" s="24" t="s">
        <v>19</v>
      </c>
      <c r="D168" s="26" t="e">
        <f>#REF!</f>
        <v>#REF!</v>
      </c>
      <c r="E168" s="26" t="e">
        <f>#REF!</f>
        <v>#REF!</v>
      </c>
      <c r="F168" s="26" t="e">
        <f>#REF!</f>
        <v>#REF!</v>
      </c>
      <c r="G168" s="26" t="e">
        <f>#REF!</f>
        <v>#REF!</v>
      </c>
      <c r="H168" s="26" t="e">
        <f>#REF!</f>
        <v>#REF!</v>
      </c>
      <c r="I168" s="26"/>
      <c r="J168" s="26" t="e">
        <f>#REF!</f>
        <v>#REF!</v>
      </c>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91"/>
      <c r="CI168" s="91"/>
      <c r="CJ168" s="91"/>
      <c r="CK168" s="91"/>
      <c r="CL168" s="91"/>
      <c r="CM168" s="91"/>
      <c r="CN168" s="91"/>
      <c r="CO168" s="91"/>
      <c r="CP168" s="91"/>
      <c r="CQ168" s="91"/>
      <c r="CR168" s="91"/>
      <c r="CS168" s="91"/>
      <c r="CT168" s="91"/>
      <c r="CU168" s="91"/>
      <c r="CV168" s="91"/>
      <c r="CW168" s="91"/>
      <c r="CX168" s="91"/>
      <c r="CY168" s="91"/>
      <c r="CZ168" s="91"/>
      <c r="DA168" s="91"/>
      <c r="DB168" s="91"/>
      <c r="DC168" s="91"/>
      <c r="DD168" s="91"/>
      <c r="DE168" s="91"/>
      <c r="DF168" s="91"/>
      <c r="DG168" s="91"/>
      <c r="DH168" s="91"/>
      <c r="DI168" s="91"/>
      <c r="DJ168" s="91"/>
      <c r="DK168" s="91"/>
      <c r="DL168" s="91"/>
      <c r="DM168" s="91"/>
      <c r="DN168" s="91"/>
      <c r="DO168" s="91"/>
      <c r="DP168" s="91"/>
      <c r="DQ168" s="91"/>
      <c r="DR168" s="91"/>
      <c r="DS168" s="91"/>
      <c r="DT168" s="91"/>
      <c r="DU168" s="91"/>
      <c r="DV168" s="91"/>
      <c r="DW168" s="91"/>
      <c r="DX168" s="91"/>
      <c r="DY168" s="91"/>
      <c r="DZ168" s="91"/>
      <c r="EA168" s="91"/>
      <c r="EB168" s="91"/>
      <c r="EC168" s="91"/>
      <c r="ED168" s="91"/>
      <c r="EE168" s="91"/>
      <c r="EF168" s="91"/>
      <c r="EG168" s="91"/>
      <c r="EH168" s="91"/>
      <c r="EI168" s="91"/>
      <c r="EJ168" s="91"/>
      <c r="EK168" s="91"/>
      <c r="EL168" s="91"/>
      <c r="EM168" s="91"/>
      <c r="EN168" s="91"/>
      <c r="EO168" s="91"/>
      <c r="EP168" s="91"/>
      <c r="EQ168" s="91"/>
      <c r="ER168" s="91"/>
      <c r="ES168" s="91"/>
      <c r="ET168" s="91"/>
      <c r="EU168" s="91"/>
      <c r="EV168" s="91"/>
      <c r="EW168" s="91"/>
      <c r="EX168" s="91"/>
      <c r="EY168" s="91"/>
      <c r="EZ168" s="91"/>
      <c r="FA168" s="91"/>
      <c r="FB168" s="91"/>
      <c r="FC168" s="91"/>
      <c r="FD168" s="91"/>
      <c r="FE168" s="91"/>
      <c r="FF168" s="91"/>
      <c r="FG168" s="91"/>
      <c r="FH168" s="91"/>
      <c r="FI168" s="91"/>
      <c r="FJ168" s="91"/>
      <c r="FK168" s="91"/>
      <c r="FL168" s="91"/>
      <c r="FM168" s="91"/>
      <c r="FN168" s="91"/>
      <c r="FO168" s="91"/>
      <c r="FP168" s="91"/>
      <c r="FQ168" s="91"/>
      <c r="FR168" s="91"/>
      <c r="FS168" s="91"/>
      <c r="FT168" s="91"/>
      <c r="FU168" s="91"/>
      <c r="FV168" s="91"/>
    </row>
    <row r="169" spans="1:178" s="1" customFormat="1" ht="16.5" hidden="1" thickBot="1">
      <c r="A169" s="21"/>
      <c r="B169" s="357"/>
      <c r="C169" s="24" t="s">
        <v>20</v>
      </c>
      <c r="D169" s="26" t="e">
        <f>#REF!</f>
        <v>#REF!</v>
      </c>
      <c r="E169" s="26" t="e">
        <f>#REF!</f>
        <v>#REF!</v>
      </c>
      <c r="F169" s="26" t="e">
        <f>#REF!</f>
        <v>#REF!</v>
      </c>
      <c r="G169" s="26" t="e">
        <f>#REF!</f>
        <v>#REF!</v>
      </c>
      <c r="H169" s="26" t="e">
        <f>#REF!</f>
        <v>#REF!</v>
      </c>
      <c r="I169" s="26"/>
      <c r="J169" s="26" t="e">
        <f>#REF!</f>
        <v>#REF!</v>
      </c>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91"/>
      <c r="CI169" s="91"/>
      <c r="CJ169" s="91"/>
      <c r="CK169" s="91"/>
      <c r="CL169" s="91"/>
      <c r="CM169" s="91"/>
      <c r="CN169" s="91"/>
      <c r="CO169" s="91"/>
      <c r="CP169" s="91"/>
      <c r="CQ169" s="91"/>
      <c r="CR169" s="91"/>
      <c r="CS169" s="91"/>
      <c r="CT169" s="91"/>
      <c r="CU169" s="91"/>
      <c r="CV169" s="91"/>
      <c r="CW169" s="91"/>
      <c r="CX169" s="91"/>
      <c r="CY169" s="91"/>
      <c r="CZ169" s="91"/>
      <c r="DA169" s="91"/>
      <c r="DB169" s="91"/>
      <c r="DC169" s="91"/>
      <c r="DD169" s="91"/>
      <c r="DE169" s="91"/>
      <c r="DF169" s="91"/>
      <c r="DG169" s="91"/>
      <c r="DH169" s="91"/>
      <c r="DI169" s="91"/>
      <c r="DJ169" s="91"/>
      <c r="DK169" s="91"/>
      <c r="DL169" s="91"/>
      <c r="DM169" s="91"/>
      <c r="DN169" s="91"/>
      <c r="DO169" s="91"/>
      <c r="DP169" s="91"/>
      <c r="DQ169" s="91"/>
      <c r="DR169" s="91"/>
      <c r="DS169" s="91"/>
      <c r="DT169" s="91"/>
      <c r="DU169" s="91"/>
      <c r="DV169" s="91"/>
      <c r="DW169" s="91"/>
      <c r="DX169" s="91"/>
      <c r="DY169" s="91"/>
      <c r="DZ169" s="91"/>
      <c r="EA169" s="91"/>
      <c r="EB169" s="91"/>
      <c r="EC169" s="91"/>
      <c r="ED169" s="91"/>
      <c r="EE169" s="91"/>
      <c r="EF169" s="91"/>
      <c r="EG169" s="91"/>
      <c r="EH169" s="91"/>
      <c r="EI169" s="91"/>
      <c r="EJ169" s="91"/>
      <c r="EK169" s="91"/>
      <c r="EL169" s="91"/>
      <c r="EM169" s="91"/>
      <c r="EN169" s="91"/>
      <c r="EO169" s="91"/>
      <c r="EP169" s="91"/>
      <c r="EQ169" s="91"/>
      <c r="ER169" s="91"/>
      <c r="ES169" s="91"/>
      <c r="ET169" s="91"/>
      <c r="EU169" s="91"/>
      <c r="EV169" s="91"/>
      <c r="EW169" s="91"/>
      <c r="EX169" s="91"/>
      <c r="EY169" s="91"/>
      <c r="EZ169" s="91"/>
      <c r="FA169" s="91"/>
      <c r="FB169" s="91"/>
      <c r="FC169" s="91"/>
      <c r="FD169" s="91"/>
      <c r="FE169" s="91"/>
      <c r="FF169" s="91"/>
      <c r="FG169" s="91"/>
      <c r="FH169" s="91"/>
      <c r="FI169" s="91"/>
      <c r="FJ169" s="91"/>
      <c r="FK169" s="91"/>
      <c r="FL169" s="91"/>
      <c r="FM169" s="91"/>
      <c r="FN169" s="91"/>
      <c r="FO169" s="91"/>
      <c r="FP169" s="91"/>
      <c r="FQ169" s="91"/>
      <c r="FR169" s="91"/>
      <c r="FS169" s="91"/>
      <c r="FT169" s="91"/>
      <c r="FU169" s="91"/>
      <c r="FV169" s="91"/>
    </row>
    <row r="170" spans="1:178" s="1" customFormat="1" ht="16.5" hidden="1" thickBot="1">
      <c r="A170" s="21"/>
      <c r="B170" s="357"/>
      <c r="C170" s="24" t="s">
        <v>21</v>
      </c>
      <c r="D170" s="26" t="e">
        <f>#REF!</f>
        <v>#REF!</v>
      </c>
      <c r="E170" s="26" t="e">
        <f>#REF!</f>
        <v>#REF!</v>
      </c>
      <c r="F170" s="26" t="e">
        <f>#REF!</f>
        <v>#REF!</v>
      </c>
      <c r="G170" s="26" t="e">
        <f>#REF!</f>
        <v>#REF!</v>
      </c>
      <c r="H170" s="26" t="e">
        <f>#REF!</f>
        <v>#REF!</v>
      </c>
      <c r="I170" s="26"/>
      <c r="J170" s="26" t="e">
        <f>#REF!</f>
        <v>#REF!</v>
      </c>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91"/>
      <c r="CI170" s="91"/>
      <c r="CJ170" s="91"/>
      <c r="CK170" s="91"/>
      <c r="CL170" s="91"/>
      <c r="CM170" s="91"/>
      <c r="CN170" s="91"/>
      <c r="CO170" s="91"/>
      <c r="CP170" s="91"/>
      <c r="CQ170" s="91"/>
      <c r="CR170" s="91"/>
      <c r="CS170" s="91"/>
      <c r="CT170" s="91"/>
      <c r="CU170" s="91"/>
      <c r="CV170" s="91"/>
      <c r="CW170" s="91"/>
      <c r="CX170" s="91"/>
      <c r="CY170" s="91"/>
      <c r="CZ170" s="91"/>
      <c r="DA170" s="91"/>
      <c r="DB170" s="91"/>
      <c r="DC170" s="91"/>
      <c r="DD170" s="91"/>
      <c r="DE170" s="91"/>
      <c r="DF170" s="91"/>
      <c r="DG170" s="91"/>
      <c r="DH170" s="91"/>
      <c r="DI170" s="91"/>
      <c r="DJ170" s="91"/>
      <c r="DK170" s="91"/>
      <c r="DL170" s="91"/>
      <c r="DM170" s="91"/>
      <c r="DN170" s="91"/>
      <c r="DO170" s="91"/>
      <c r="DP170" s="91"/>
      <c r="DQ170" s="91"/>
      <c r="DR170" s="91"/>
      <c r="DS170" s="91"/>
      <c r="DT170" s="91"/>
      <c r="DU170" s="91"/>
      <c r="DV170" s="91"/>
      <c r="DW170" s="91"/>
      <c r="DX170" s="91"/>
      <c r="DY170" s="91"/>
      <c r="DZ170" s="91"/>
      <c r="EA170" s="91"/>
      <c r="EB170" s="91"/>
      <c r="EC170" s="91"/>
      <c r="ED170" s="91"/>
      <c r="EE170" s="91"/>
      <c r="EF170" s="91"/>
      <c r="EG170" s="91"/>
      <c r="EH170" s="91"/>
      <c r="EI170" s="91"/>
      <c r="EJ170" s="91"/>
      <c r="EK170" s="91"/>
      <c r="EL170" s="91"/>
      <c r="EM170" s="91"/>
      <c r="EN170" s="91"/>
      <c r="EO170" s="91"/>
      <c r="EP170" s="91"/>
      <c r="EQ170" s="91"/>
      <c r="ER170" s="91"/>
      <c r="ES170" s="91"/>
      <c r="ET170" s="91"/>
      <c r="EU170" s="91"/>
      <c r="EV170" s="91"/>
      <c r="EW170" s="91"/>
      <c r="EX170" s="91"/>
      <c r="EY170" s="91"/>
      <c r="EZ170" s="91"/>
      <c r="FA170" s="91"/>
      <c r="FB170" s="91"/>
      <c r="FC170" s="91"/>
      <c r="FD170" s="91"/>
      <c r="FE170" s="91"/>
      <c r="FF170" s="91"/>
      <c r="FG170" s="91"/>
      <c r="FH170" s="91"/>
      <c r="FI170" s="91"/>
      <c r="FJ170" s="91"/>
      <c r="FK170" s="91"/>
      <c r="FL170" s="91"/>
      <c r="FM170" s="91"/>
      <c r="FN170" s="91"/>
      <c r="FO170" s="91"/>
      <c r="FP170" s="91"/>
      <c r="FQ170" s="91"/>
      <c r="FR170" s="91"/>
      <c r="FS170" s="91"/>
      <c r="FT170" s="91"/>
      <c r="FU170" s="91"/>
      <c r="FV170" s="91"/>
    </row>
    <row r="171" spans="1:178" s="1" customFormat="1" ht="16.5" hidden="1" thickBot="1">
      <c r="A171" s="21"/>
      <c r="B171" s="357"/>
      <c r="C171" s="24" t="s">
        <v>22</v>
      </c>
      <c r="D171" s="26" t="e">
        <f>#REF!</f>
        <v>#REF!</v>
      </c>
      <c r="E171" s="26" t="e">
        <f>#REF!</f>
        <v>#REF!</v>
      </c>
      <c r="F171" s="26" t="e">
        <f>#REF!</f>
        <v>#REF!</v>
      </c>
      <c r="G171" s="26" t="e">
        <f>#REF!</f>
        <v>#REF!</v>
      </c>
      <c r="H171" s="26" t="e">
        <f>#REF!</f>
        <v>#REF!</v>
      </c>
      <c r="I171" s="26"/>
      <c r="J171" s="26" t="e">
        <f>#REF!</f>
        <v>#REF!</v>
      </c>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91"/>
      <c r="CI171" s="91"/>
      <c r="CJ171" s="91"/>
      <c r="CK171" s="91"/>
      <c r="CL171" s="91"/>
      <c r="CM171" s="91"/>
      <c r="CN171" s="91"/>
      <c r="CO171" s="91"/>
      <c r="CP171" s="91"/>
      <c r="CQ171" s="91"/>
      <c r="CR171" s="91"/>
      <c r="CS171" s="91"/>
      <c r="CT171" s="91"/>
      <c r="CU171" s="91"/>
      <c r="CV171" s="91"/>
      <c r="CW171" s="91"/>
      <c r="CX171" s="91"/>
      <c r="CY171" s="91"/>
      <c r="CZ171" s="91"/>
      <c r="DA171" s="91"/>
      <c r="DB171" s="91"/>
      <c r="DC171" s="91"/>
      <c r="DD171" s="91"/>
      <c r="DE171" s="91"/>
      <c r="DF171" s="91"/>
      <c r="DG171" s="91"/>
      <c r="DH171" s="91"/>
      <c r="DI171" s="91"/>
      <c r="DJ171" s="91"/>
      <c r="DK171" s="91"/>
      <c r="DL171" s="91"/>
      <c r="DM171" s="91"/>
      <c r="DN171" s="91"/>
      <c r="DO171" s="91"/>
      <c r="DP171" s="91"/>
      <c r="DQ171" s="91"/>
      <c r="DR171" s="91"/>
      <c r="DS171" s="91"/>
      <c r="DT171" s="91"/>
      <c r="DU171" s="91"/>
      <c r="DV171" s="91"/>
      <c r="DW171" s="91"/>
      <c r="DX171" s="91"/>
      <c r="DY171" s="91"/>
      <c r="DZ171" s="91"/>
      <c r="EA171" s="91"/>
      <c r="EB171" s="91"/>
      <c r="EC171" s="91"/>
      <c r="ED171" s="91"/>
      <c r="EE171" s="91"/>
      <c r="EF171" s="91"/>
      <c r="EG171" s="91"/>
      <c r="EH171" s="91"/>
      <c r="EI171" s="91"/>
      <c r="EJ171" s="91"/>
      <c r="EK171" s="91"/>
      <c r="EL171" s="91"/>
      <c r="EM171" s="91"/>
      <c r="EN171" s="91"/>
      <c r="EO171" s="91"/>
      <c r="EP171" s="91"/>
      <c r="EQ171" s="91"/>
      <c r="ER171" s="91"/>
      <c r="ES171" s="91"/>
      <c r="ET171" s="91"/>
      <c r="EU171" s="91"/>
      <c r="EV171" s="91"/>
      <c r="EW171" s="91"/>
      <c r="EX171" s="91"/>
      <c r="EY171" s="91"/>
      <c r="EZ171" s="91"/>
      <c r="FA171" s="91"/>
      <c r="FB171" s="91"/>
      <c r="FC171" s="91"/>
      <c r="FD171" s="91"/>
      <c r="FE171" s="91"/>
      <c r="FF171" s="91"/>
      <c r="FG171" s="91"/>
      <c r="FH171" s="91"/>
      <c r="FI171" s="91"/>
      <c r="FJ171" s="91"/>
      <c r="FK171" s="91"/>
      <c r="FL171" s="91"/>
      <c r="FM171" s="91"/>
      <c r="FN171" s="91"/>
      <c r="FO171" s="91"/>
      <c r="FP171" s="91"/>
      <c r="FQ171" s="91"/>
      <c r="FR171" s="91"/>
      <c r="FS171" s="91"/>
      <c r="FT171" s="91"/>
      <c r="FU171" s="91"/>
      <c r="FV171" s="91"/>
    </row>
    <row r="172" spans="1:178" s="1" customFormat="1" ht="16.5" hidden="1" thickBot="1">
      <c r="A172" s="21"/>
      <c r="B172" s="357"/>
      <c r="C172" s="24" t="s">
        <v>23</v>
      </c>
      <c r="D172" s="26" t="e">
        <f>#REF!+#REF!+D145+D146+D150+#REF!+D157+D158+D125+#REF!</f>
        <v>#REF!</v>
      </c>
      <c r="E172" s="26" t="e">
        <f>#REF!+#REF!+E145+E146+E150+#REF!+E157+E158+E125+#REF!</f>
        <v>#REF!</v>
      </c>
      <c r="F172" s="26" t="e">
        <f>#REF!+#REF!+F145+F146+F150+#REF!+F157+F158+F125+#REF!</f>
        <v>#REF!</v>
      </c>
      <c r="G172" s="26" t="e">
        <f>#REF!+#REF!+G145+G146+G150+#REF!+G157+G158+G125+#REF!</f>
        <v>#REF!</v>
      </c>
      <c r="H172" s="26" t="e">
        <f>#REF!+#REF!+H145+H146+H150+#REF!+H157+H158+H125+#REF!</f>
        <v>#REF!</v>
      </c>
      <c r="I172" s="26"/>
      <c r="J172" s="26" t="e">
        <f>#REF!+#REF!+J145+J146+J150+#REF!+J157+J158+J125+#REF!</f>
        <v>#REF!</v>
      </c>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91"/>
      <c r="CI172" s="91"/>
      <c r="CJ172" s="91"/>
      <c r="CK172" s="91"/>
      <c r="CL172" s="91"/>
      <c r="CM172" s="91"/>
      <c r="CN172" s="91"/>
      <c r="CO172" s="91"/>
      <c r="CP172" s="91"/>
      <c r="CQ172" s="91"/>
      <c r="CR172" s="91"/>
      <c r="CS172" s="91"/>
      <c r="CT172" s="91"/>
      <c r="CU172" s="91"/>
      <c r="CV172" s="91"/>
      <c r="CW172" s="91"/>
      <c r="CX172" s="91"/>
      <c r="CY172" s="91"/>
      <c r="CZ172" s="91"/>
      <c r="DA172" s="91"/>
      <c r="DB172" s="91"/>
      <c r="DC172" s="91"/>
      <c r="DD172" s="91"/>
      <c r="DE172" s="91"/>
      <c r="DF172" s="91"/>
      <c r="DG172" s="91"/>
      <c r="DH172" s="91"/>
      <c r="DI172" s="91"/>
      <c r="DJ172" s="91"/>
      <c r="DK172" s="91"/>
      <c r="DL172" s="91"/>
      <c r="DM172" s="91"/>
      <c r="DN172" s="91"/>
      <c r="DO172" s="91"/>
      <c r="DP172" s="91"/>
      <c r="DQ172" s="91"/>
      <c r="DR172" s="91"/>
      <c r="DS172" s="91"/>
      <c r="DT172" s="91"/>
      <c r="DU172" s="91"/>
      <c r="DV172" s="91"/>
      <c r="DW172" s="91"/>
      <c r="DX172" s="91"/>
      <c r="DY172" s="91"/>
      <c r="DZ172" s="91"/>
      <c r="EA172" s="91"/>
      <c r="EB172" s="91"/>
      <c r="EC172" s="91"/>
      <c r="ED172" s="91"/>
      <c r="EE172" s="91"/>
      <c r="EF172" s="91"/>
      <c r="EG172" s="91"/>
      <c r="EH172" s="91"/>
      <c r="EI172" s="91"/>
      <c r="EJ172" s="91"/>
      <c r="EK172" s="91"/>
      <c r="EL172" s="91"/>
      <c r="EM172" s="91"/>
      <c r="EN172" s="91"/>
      <c r="EO172" s="91"/>
      <c r="EP172" s="91"/>
      <c r="EQ172" s="91"/>
      <c r="ER172" s="91"/>
      <c r="ES172" s="91"/>
      <c r="ET172" s="91"/>
      <c r="EU172" s="91"/>
      <c r="EV172" s="91"/>
      <c r="EW172" s="91"/>
      <c r="EX172" s="91"/>
      <c r="EY172" s="91"/>
      <c r="EZ172" s="91"/>
      <c r="FA172" s="91"/>
      <c r="FB172" s="91"/>
      <c r="FC172" s="91"/>
      <c r="FD172" s="91"/>
      <c r="FE172" s="91"/>
      <c r="FF172" s="91"/>
      <c r="FG172" s="91"/>
      <c r="FH172" s="91"/>
      <c r="FI172" s="91"/>
      <c r="FJ172" s="91"/>
      <c r="FK172" s="91"/>
      <c r="FL172" s="91"/>
      <c r="FM172" s="91"/>
      <c r="FN172" s="91"/>
      <c r="FO172" s="91"/>
      <c r="FP172" s="91"/>
      <c r="FQ172" s="91"/>
      <c r="FR172" s="91"/>
      <c r="FS172" s="91"/>
      <c r="FT172" s="91"/>
      <c r="FU172" s="91"/>
      <c r="FV172" s="91"/>
    </row>
    <row r="173" spans="1:178" s="1" customFormat="1" ht="16.5" hidden="1" thickBot="1">
      <c r="A173" s="21"/>
      <c r="B173" s="357"/>
      <c r="C173" s="24" t="s">
        <v>24</v>
      </c>
      <c r="D173" s="26" t="e">
        <f>#REF!+#REF!</f>
        <v>#REF!</v>
      </c>
      <c r="E173" s="26" t="e">
        <f>#REF!+#REF!</f>
        <v>#REF!</v>
      </c>
      <c r="F173" s="26" t="e">
        <f>#REF!+#REF!</f>
        <v>#REF!</v>
      </c>
      <c r="G173" s="26" t="e">
        <f>#REF!+#REF!</f>
        <v>#REF!</v>
      </c>
      <c r="H173" s="26" t="e">
        <f>#REF!+#REF!</f>
        <v>#REF!</v>
      </c>
      <c r="I173" s="26"/>
      <c r="J173" s="26" t="e">
        <f>#REF!+#REF!</f>
        <v>#REF!</v>
      </c>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91"/>
      <c r="CI173" s="91"/>
      <c r="CJ173" s="91"/>
      <c r="CK173" s="91"/>
      <c r="CL173" s="91"/>
      <c r="CM173" s="91"/>
      <c r="CN173" s="91"/>
      <c r="CO173" s="91"/>
      <c r="CP173" s="91"/>
      <c r="CQ173" s="91"/>
      <c r="CR173" s="91"/>
      <c r="CS173" s="91"/>
      <c r="CT173" s="91"/>
      <c r="CU173" s="91"/>
      <c r="CV173" s="91"/>
      <c r="CW173" s="91"/>
      <c r="CX173" s="91"/>
      <c r="CY173" s="91"/>
      <c r="CZ173" s="91"/>
      <c r="DA173" s="91"/>
      <c r="DB173" s="91"/>
      <c r="DC173" s="91"/>
      <c r="DD173" s="91"/>
      <c r="DE173" s="91"/>
      <c r="DF173" s="91"/>
      <c r="DG173" s="91"/>
      <c r="DH173" s="91"/>
      <c r="DI173" s="91"/>
      <c r="DJ173" s="91"/>
      <c r="DK173" s="91"/>
      <c r="DL173" s="91"/>
      <c r="DM173" s="91"/>
      <c r="DN173" s="91"/>
      <c r="DO173" s="91"/>
      <c r="DP173" s="91"/>
      <c r="DQ173" s="91"/>
      <c r="DR173" s="91"/>
      <c r="DS173" s="91"/>
      <c r="DT173" s="91"/>
      <c r="DU173" s="91"/>
      <c r="DV173" s="91"/>
      <c r="DW173" s="91"/>
      <c r="DX173" s="91"/>
      <c r="DY173" s="91"/>
      <c r="DZ173" s="91"/>
      <c r="EA173" s="91"/>
      <c r="EB173" s="91"/>
      <c r="EC173" s="91"/>
      <c r="ED173" s="91"/>
      <c r="EE173" s="91"/>
      <c r="EF173" s="91"/>
      <c r="EG173" s="91"/>
      <c r="EH173" s="91"/>
      <c r="EI173" s="91"/>
      <c r="EJ173" s="91"/>
      <c r="EK173" s="91"/>
      <c r="EL173" s="91"/>
      <c r="EM173" s="91"/>
      <c r="EN173" s="91"/>
      <c r="EO173" s="91"/>
      <c r="EP173" s="91"/>
      <c r="EQ173" s="91"/>
      <c r="ER173" s="91"/>
      <c r="ES173" s="91"/>
      <c r="ET173" s="91"/>
      <c r="EU173" s="91"/>
      <c r="EV173" s="91"/>
      <c r="EW173" s="91"/>
      <c r="EX173" s="91"/>
      <c r="EY173" s="91"/>
      <c r="EZ173" s="91"/>
      <c r="FA173" s="91"/>
      <c r="FB173" s="91"/>
      <c r="FC173" s="91"/>
      <c r="FD173" s="91"/>
      <c r="FE173" s="91"/>
      <c r="FF173" s="91"/>
      <c r="FG173" s="91"/>
      <c r="FH173" s="91"/>
      <c r="FI173" s="91"/>
      <c r="FJ173" s="91"/>
      <c r="FK173" s="91"/>
      <c r="FL173" s="91"/>
      <c r="FM173" s="91"/>
      <c r="FN173" s="91"/>
      <c r="FO173" s="91"/>
      <c r="FP173" s="91"/>
      <c r="FQ173" s="91"/>
      <c r="FR173" s="91"/>
      <c r="FS173" s="91"/>
      <c r="FT173" s="91"/>
      <c r="FU173" s="91"/>
      <c r="FV173" s="91"/>
    </row>
    <row r="174" spans="1:178" s="1" customFormat="1" ht="16.5" hidden="1" thickBot="1">
      <c r="A174" s="21"/>
      <c r="B174" s="357"/>
      <c r="C174" s="24" t="s">
        <v>25</v>
      </c>
      <c r="D174" s="26">
        <f>D138+D144</f>
        <v>2562187.55</v>
      </c>
      <c r="E174" s="26">
        <f>E138+E144</f>
        <v>5725941.6899999995</v>
      </c>
      <c r="F174" s="26">
        <f>F138+F144</f>
        <v>2879160.5700000003</v>
      </c>
      <c r="G174" s="26">
        <f>G138+G144</f>
        <v>2882467.0700000003</v>
      </c>
      <c r="H174" s="26">
        <f>H138+H144</f>
        <v>5089719.085573987</v>
      </c>
      <c r="I174" s="26"/>
      <c r="J174" s="26">
        <f>J138+J144</f>
        <v>4482932.439616969</v>
      </c>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91"/>
      <c r="CI174" s="91"/>
      <c r="CJ174" s="91"/>
      <c r="CK174" s="91"/>
      <c r="CL174" s="91"/>
      <c r="CM174" s="91"/>
      <c r="CN174" s="91"/>
      <c r="CO174" s="91"/>
      <c r="CP174" s="91"/>
      <c r="CQ174" s="91"/>
      <c r="CR174" s="91"/>
      <c r="CS174" s="91"/>
      <c r="CT174" s="91"/>
      <c r="CU174" s="91"/>
      <c r="CV174" s="91"/>
      <c r="CW174" s="91"/>
      <c r="CX174" s="91"/>
      <c r="CY174" s="91"/>
      <c r="CZ174" s="91"/>
      <c r="DA174" s="91"/>
      <c r="DB174" s="91"/>
      <c r="DC174" s="91"/>
      <c r="DD174" s="91"/>
      <c r="DE174" s="91"/>
      <c r="DF174" s="91"/>
      <c r="DG174" s="91"/>
      <c r="DH174" s="91"/>
      <c r="DI174" s="91"/>
      <c r="DJ174" s="91"/>
      <c r="DK174" s="91"/>
      <c r="DL174" s="91"/>
      <c r="DM174" s="91"/>
      <c r="DN174" s="91"/>
      <c r="DO174" s="91"/>
      <c r="DP174" s="91"/>
      <c r="DQ174" s="91"/>
      <c r="DR174" s="91"/>
      <c r="DS174" s="91"/>
      <c r="DT174" s="91"/>
      <c r="DU174" s="91"/>
      <c r="DV174" s="91"/>
      <c r="DW174" s="91"/>
      <c r="DX174" s="91"/>
      <c r="DY174" s="91"/>
      <c r="DZ174" s="91"/>
      <c r="EA174" s="91"/>
      <c r="EB174" s="91"/>
      <c r="EC174" s="91"/>
      <c r="ED174" s="91"/>
      <c r="EE174" s="91"/>
      <c r="EF174" s="91"/>
      <c r="EG174" s="91"/>
      <c r="EH174" s="91"/>
      <c r="EI174" s="91"/>
      <c r="EJ174" s="91"/>
      <c r="EK174" s="91"/>
      <c r="EL174" s="91"/>
      <c r="EM174" s="91"/>
      <c r="EN174" s="91"/>
      <c r="EO174" s="91"/>
      <c r="EP174" s="91"/>
      <c r="EQ174" s="91"/>
      <c r="ER174" s="91"/>
      <c r="ES174" s="91"/>
      <c r="ET174" s="91"/>
      <c r="EU174" s="91"/>
      <c r="EV174" s="91"/>
      <c r="EW174" s="91"/>
      <c r="EX174" s="91"/>
      <c r="EY174" s="91"/>
      <c r="EZ174" s="91"/>
      <c r="FA174" s="91"/>
      <c r="FB174" s="91"/>
      <c r="FC174" s="91"/>
      <c r="FD174" s="91"/>
      <c r="FE174" s="91"/>
      <c r="FF174" s="91"/>
      <c r="FG174" s="91"/>
      <c r="FH174" s="91"/>
      <c r="FI174" s="91"/>
      <c r="FJ174" s="91"/>
      <c r="FK174" s="91"/>
      <c r="FL174" s="91"/>
      <c r="FM174" s="91"/>
      <c r="FN174" s="91"/>
      <c r="FO174" s="91"/>
      <c r="FP174" s="91"/>
      <c r="FQ174" s="91"/>
      <c r="FR174" s="91"/>
      <c r="FS174" s="91"/>
      <c r="FT174" s="91"/>
      <c r="FU174" s="91"/>
      <c r="FV174" s="91"/>
    </row>
    <row r="175" spans="1:178" s="1" customFormat="1" ht="16.5" hidden="1" thickBot="1">
      <c r="A175" s="21"/>
      <c r="B175" s="357"/>
      <c r="C175" s="24" t="s">
        <v>26</v>
      </c>
      <c r="D175" s="26" t="e">
        <f>#REF!</f>
        <v>#REF!</v>
      </c>
      <c r="E175" s="26" t="e">
        <f>#REF!</f>
        <v>#REF!</v>
      </c>
      <c r="F175" s="26" t="e">
        <f>#REF!</f>
        <v>#REF!</v>
      </c>
      <c r="G175" s="26" t="e">
        <f>#REF!</f>
        <v>#REF!</v>
      </c>
      <c r="H175" s="26" t="e">
        <f>#REF!</f>
        <v>#REF!</v>
      </c>
      <c r="I175" s="26"/>
      <c r="J175" s="26" t="e">
        <f>#REF!</f>
        <v>#REF!</v>
      </c>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91"/>
      <c r="CI175" s="91"/>
      <c r="CJ175" s="91"/>
      <c r="CK175" s="91"/>
      <c r="CL175" s="91"/>
      <c r="CM175" s="91"/>
      <c r="CN175" s="91"/>
      <c r="CO175" s="91"/>
      <c r="CP175" s="91"/>
      <c r="CQ175" s="91"/>
      <c r="CR175" s="91"/>
      <c r="CS175" s="91"/>
      <c r="CT175" s="91"/>
      <c r="CU175" s="91"/>
      <c r="CV175" s="91"/>
      <c r="CW175" s="91"/>
      <c r="CX175" s="91"/>
      <c r="CY175" s="91"/>
      <c r="CZ175" s="91"/>
      <c r="DA175" s="91"/>
      <c r="DB175" s="91"/>
      <c r="DC175" s="91"/>
      <c r="DD175" s="91"/>
      <c r="DE175" s="91"/>
      <c r="DF175" s="91"/>
      <c r="DG175" s="91"/>
      <c r="DH175" s="91"/>
      <c r="DI175" s="91"/>
      <c r="DJ175" s="91"/>
      <c r="DK175" s="91"/>
      <c r="DL175" s="91"/>
      <c r="DM175" s="91"/>
      <c r="DN175" s="91"/>
      <c r="DO175" s="91"/>
      <c r="DP175" s="91"/>
      <c r="DQ175" s="91"/>
      <c r="DR175" s="91"/>
      <c r="DS175" s="91"/>
      <c r="DT175" s="91"/>
      <c r="DU175" s="91"/>
      <c r="DV175" s="91"/>
      <c r="DW175" s="91"/>
      <c r="DX175" s="91"/>
      <c r="DY175" s="91"/>
      <c r="DZ175" s="91"/>
      <c r="EA175" s="91"/>
      <c r="EB175" s="91"/>
      <c r="EC175" s="91"/>
      <c r="ED175" s="91"/>
      <c r="EE175" s="91"/>
      <c r="EF175" s="91"/>
      <c r="EG175" s="91"/>
      <c r="EH175" s="91"/>
      <c r="EI175" s="91"/>
      <c r="EJ175" s="91"/>
      <c r="EK175" s="91"/>
      <c r="EL175" s="91"/>
      <c r="EM175" s="91"/>
      <c r="EN175" s="91"/>
      <c r="EO175" s="91"/>
      <c r="EP175" s="91"/>
      <c r="EQ175" s="91"/>
      <c r="ER175" s="91"/>
      <c r="ES175" s="91"/>
      <c r="ET175" s="91"/>
      <c r="EU175" s="91"/>
      <c r="EV175" s="91"/>
      <c r="EW175" s="91"/>
      <c r="EX175" s="91"/>
      <c r="EY175" s="91"/>
      <c r="EZ175" s="91"/>
      <c r="FA175" s="91"/>
      <c r="FB175" s="91"/>
      <c r="FC175" s="91"/>
      <c r="FD175" s="91"/>
      <c r="FE175" s="91"/>
      <c r="FF175" s="91"/>
      <c r="FG175" s="91"/>
      <c r="FH175" s="91"/>
      <c r="FI175" s="91"/>
      <c r="FJ175" s="91"/>
      <c r="FK175" s="91"/>
      <c r="FL175" s="91"/>
      <c r="FM175" s="91"/>
      <c r="FN175" s="91"/>
      <c r="FO175" s="91"/>
      <c r="FP175" s="91"/>
      <c r="FQ175" s="91"/>
      <c r="FR175" s="91"/>
      <c r="FS175" s="91"/>
      <c r="FT175" s="91"/>
      <c r="FU175" s="91"/>
      <c r="FV175" s="91"/>
    </row>
    <row r="176" spans="1:178" s="1" customFormat="1" ht="16.5" hidden="1" thickBot="1">
      <c r="A176" s="21"/>
      <c r="B176" s="357"/>
      <c r="C176" s="24" t="s">
        <v>27</v>
      </c>
      <c r="D176" s="26" t="e">
        <f>D131+#REF!+#REF!+#REF!+#REF!+#REF!+#REF!</f>
        <v>#REF!</v>
      </c>
      <c r="E176" s="26" t="e">
        <f>E131+#REF!+#REF!+#REF!+#REF!+#REF!+#REF!</f>
        <v>#REF!</v>
      </c>
      <c r="F176" s="26" t="e">
        <f>F131+#REF!+#REF!+#REF!+#REF!+#REF!+#REF!</f>
        <v>#REF!</v>
      </c>
      <c r="G176" s="26" t="e">
        <f>G131+#REF!+#REF!+#REF!+#REF!+#REF!+#REF!</f>
        <v>#REF!</v>
      </c>
      <c r="H176" s="26" t="e">
        <f>H131+#REF!+#REF!+#REF!+#REF!+#REF!+#REF!</f>
        <v>#REF!</v>
      </c>
      <c r="I176" s="26"/>
      <c r="J176" s="26" t="e">
        <f>J131+#REF!+#REF!+#REF!+#REF!+#REF!+#REF!</f>
        <v>#REF!</v>
      </c>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91"/>
      <c r="CI176" s="91"/>
      <c r="CJ176" s="91"/>
      <c r="CK176" s="91"/>
      <c r="CL176" s="91"/>
      <c r="CM176" s="91"/>
      <c r="CN176" s="91"/>
      <c r="CO176" s="91"/>
      <c r="CP176" s="91"/>
      <c r="CQ176" s="91"/>
      <c r="CR176" s="91"/>
      <c r="CS176" s="91"/>
      <c r="CT176" s="91"/>
      <c r="CU176" s="91"/>
      <c r="CV176" s="91"/>
      <c r="CW176" s="91"/>
      <c r="CX176" s="91"/>
      <c r="CY176" s="91"/>
      <c r="CZ176" s="91"/>
      <c r="DA176" s="91"/>
      <c r="DB176" s="91"/>
      <c r="DC176" s="91"/>
      <c r="DD176" s="91"/>
      <c r="DE176" s="91"/>
      <c r="DF176" s="91"/>
      <c r="DG176" s="91"/>
      <c r="DH176" s="91"/>
      <c r="DI176" s="91"/>
      <c r="DJ176" s="91"/>
      <c r="DK176" s="91"/>
      <c r="DL176" s="91"/>
      <c r="DM176" s="91"/>
      <c r="DN176" s="91"/>
      <c r="DO176" s="91"/>
      <c r="DP176" s="91"/>
      <c r="DQ176" s="91"/>
      <c r="DR176" s="91"/>
      <c r="DS176" s="91"/>
      <c r="DT176" s="91"/>
      <c r="DU176" s="91"/>
      <c r="DV176" s="91"/>
      <c r="DW176" s="91"/>
      <c r="DX176" s="91"/>
      <c r="DY176" s="91"/>
      <c r="DZ176" s="91"/>
      <c r="EA176" s="91"/>
      <c r="EB176" s="91"/>
      <c r="EC176" s="91"/>
      <c r="ED176" s="91"/>
      <c r="EE176" s="91"/>
      <c r="EF176" s="91"/>
      <c r="EG176" s="91"/>
      <c r="EH176" s="91"/>
      <c r="EI176" s="91"/>
      <c r="EJ176" s="91"/>
      <c r="EK176" s="91"/>
      <c r="EL176" s="91"/>
      <c r="EM176" s="91"/>
      <c r="EN176" s="91"/>
      <c r="EO176" s="91"/>
      <c r="EP176" s="91"/>
      <c r="EQ176" s="91"/>
      <c r="ER176" s="91"/>
      <c r="ES176" s="91"/>
      <c r="ET176" s="91"/>
      <c r="EU176" s="91"/>
      <c r="EV176" s="91"/>
      <c r="EW176" s="91"/>
      <c r="EX176" s="91"/>
      <c r="EY176" s="91"/>
      <c r="EZ176" s="91"/>
      <c r="FA176" s="91"/>
      <c r="FB176" s="91"/>
      <c r="FC176" s="91"/>
      <c r="FD176" s="91"/>
      <c r="FE176" s="91"/>
      <c r="FF176" s="91"/>
      <c r="FG176" s="91"/>
      <c r="FH176" s="91"/>
      <c r="FI176" s="91"/>
      <c r="FJ176" s="91"/>
      <c r="FK176" s="91"/>
      <c r="FL176" s="91"/>
      <c r="FM176" s="91"/>
      <c r="FN176" s="91"/>
      <c r="FO176" s="91"/>
      <c r="FP176" s="91"/>
      <c r="FQ176" s="91"/>
      <c r="FR176" s="91"/>
      <c r="FS176" s="91"/>
      <c r="FT176" s="91"/>
      <c r="FU176" s="91"/>
      <c r="FV176" s="91"/>
    </row>
    <row r="177" spans="1:178" s="1" customFormat="1" ht="16.5" hidden="1" thickBot="1">
      <c r="A177" s="21"/>
      <c r="B177" s="357"/>
      <c r="C177" s="24" t="s">
        <v>33</v>
      </c>
      <c r="D177" s="26" t="e">
        <f>#REF!</f>
        <v>#REF!</v>
      </c>
      <c r="E177" s="26" t="e">
        <f>#REF!</f>
        <v>#REF!</v>
      </c>
      <c r="F177" s="26" t="e">
        <f>#REF!</f>
        <v>#REF!</v>
      </c>
      <c r="G177" s="26" t="e">
        <f>#REF!</f>
        <v>#REF!</v>
      </c>
      <c r="H177" s="26" t="e">
        <f>#REF!</f>
        <v>#REF!</v>
      </c>
      <c r="I177" s="26"/>
      <c r="J177" s="26" t="e">
        <f>#REF!</f>
        <v>#REF!</v>
      </c>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91"/>
      <c r="CI177" s="91"/>
      <c r="CJ177" s="91"/>
      <c r="CK177" s="91"/>
      <c r="CL177" s="91"/>
      <c r="CM177" s="91"/>
      <c r="CN177" s="91"/>
      <c r="CO177" s="91"/>
      <c r="CP177" s="91"/>
      <c r="CQ177" s="91"/>
      <c r="CR177" s="91"/>
      <c r="CS177" s="91"/>
      <c r="CT177" s="91"/>
      <c r="CU177" s="91"/>
      <c r="CV177" s="91"/>
      <c r="CW177" s="91"/>
      <c r="CX177" s="91"/>
      <c r="CY177" s="91"/>
      <c r="CZ177" s="91"/>
      <c r="DA177" s="91"/>
      <c r="DB177" s="91"/>
      <c r="DC177" s="91"/>
      <c r="DD177" s="91"/>
      <c r="DE177" s="91"/>
      <c r="DF177" s="91"/>
      <c r="DG177" s="91"/>
      <c r="DH177" s="91"/>
      <c r="DI177" s="91"/>
      <c r="DJ177" s="91"/>
      <c r="DK177" s="91"/>
      <c r="DL177" s="91"/>
      <c r="DM177" s="91"/>
      <c r="DN177" s="91"/>
      <c r="DO177" s="91"/>
      <c r="DP177" s="91"/>
      <c r="DQ177" s="91"/>
      <c r="DR177" s="91"/>
      <c r="DS177" s="91"/>
      <c r="DT177" s="91"/>
      <c r="DU177" s="91"/>
      <c r="DV177" s="91"/>
      <c r="DW177" s="91"/>
      <c r="DX177" s="91"/>
      <c r="DY177" s="91"/>
      <c r="DZ177" s="91"/>
      <c r="EA177" s="91"/>
      <c r="EB177" s="91"/>
      <c r="EC177" s="91"/>
      <c r="ED177" s="91"/>
      <c r="EE177" s="91"/>
      <c r="EF177" s="91"/>
      <c r="EG177" s="91"/>
      <c r="EH177" s="91"/>
      <c r="EI177" s="91"/>
      <c r="EJ177" s="91"/>
      <c r="EK177" s="91"/>
      <c r="EL177" s="91"/>
      <c r="EM177" s="91"/>
      <c r="EN177" s="91"/>
      <c r="EO177" s="91"/>
      <c r="EP177" s="91"/>
      <c r="EQ177" s="91"/>
      <c r="ER177" s="91"/>
      <c r="ES177" s="91"/>
      <c r="ET177" s="91"/>
      <c r="EU177" s="91"/>
      <c r="EV177" s="91"/>
      <c r="EW177" s="91"/>
      <c r="EX177" s="91"/>
      <c r="EY177" s="91"/>
      <c r="EZ177" s="91"/>
      <c r="FA177" s="91"/>
      <c r="FB177" s="91"/>
      <c r="FC177" s="91"/>
      <c r="FD177" s="91"/>
      <c r="FE177" s="91"/>
      <c r="FF177" s="91"/>
      <c r="FG177" s="91"/>
      <c r="FH177" s="91"/>
      <c r="FI177" s="91"/>
      <c r="FJ177" s="91"/>
      <c r="FK177" s="91"/>
      <c r="FL177" s="91"/>
      <c r="FM177" s="91"/>
      <c r="FN177" s="91"/>
      <c r="FO177" s="91"/>
      <c r="FP177" s="91"/>
      <c r="FQ177" s="91"/>
      <c r="FR177" s="91"/>
      <c r="FS177" s="91"/>
      <c r="FT177" s="91"/>
      <c r="FU177" s="91"/>
      <c r="FV177" s="91"/>
    </row>
    <row r="178" spans="1:178" s="1" customFormat="1" ht="16.5" hidden="1" thickBot="1">
      <c r="A178" s="21"/>
      <c r="B178" s="357"/>
      <c r="C178" s="24" t="s">
        <v>28</v>
      </c>
      <c r="D178" s="26" t="e">
        <f>#REF!+#REF!</f>
        <v>#REF!</v>
      </c>
      <c r="E178" s="26" t="e">
        <f>#REF!+#REF!</f>
        <v>#REF!</v>
      </c>
      <c r="F178" s="26" t="e">
        <f>#REF!+#REF!</f>
        <v>#REF!</v>
      </c>
      <c r="G178" s="26" t="e">
        <f>#REF!+#REF!</f>
        <v>#REF!</v>
      </c>
      <c r="H178" s="26" t="e">
        <f>#REF!+#REF!</f>
        <v>#REF!</v>
      </c>
      <c r="I178" s="26"/>
      <c r="J178" s="26" t="e">
        <f>#REF!+#REF!</f>
        <v>#REF!</v>
      </c>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91"/>
      <c r="CI178" s="91"/>
      <c r="CJ178" s="91"/>
      <c r="CK178" s="91"/>
      <c r="CL178" s="91"/>
      <c r="CM178" s="91"/>
      <c r="CN178" s="91"/>
      <c r="CO178" s="91"/>
      <c r="CP178" s="91"/>
      <c r="CQ178" s="91"/>
      <c r="CR178" s="91"/>
      <c r="CS178" s="91"/>
      <c r="CT178" s="91"/>
      <c r="CU178" s="91"/>
      <c r="CV178" s="91"/>
      <c r="CW178" s="91"/>
      <c r="CX178" s="91"/>
      <c r="CY178" s="91"/>
      <c r="CZ178" s="91"/>
      <c r="DA178" s="91"/>
      <c r="DB178" s="91"/>
      <c r="DC178" s="91"/>
      <c r="DD178" s="91"/>
      <c r="DE178" s="91"/>
      <c r="DF178" s="91"/>
      <c r="DG178" s="91"/>
      <c r="DH178" s="91"/>
      <c r="DI178" s="91"/>
      <c r="DJ178" s="91"/>
      <c r="DK178" s="91"/>
      <c r="DL178" s="91"/>
      <c r="DM178" s="91"/>
      <c r="DN178" s="91"/>
      <c r="DO178" s="91"/>
      <c r="DP178" s="91"/>
      <c r="DQ178" s="91"/>
      <c r="DR178" s="91"/>
      <c r="DS178" s="91"/>
      <c r="DT178" s="91"/>
      <c r="DU178" s="91"/>
      <c r="DV178" s="91"/>
      <c r="DW178" s="91"/>
      <c r="DX178" s="91"/>
      <c r="DY178" s="91"/>
      <c r="DZ178" s="91"/>
      <c r="EA178" s="91"/>
      <c r="EB178" s="91"/>
      <c r="EC178" s="91"/>
      <c r="ED178" s="91"/>
      <c r="EE178" s="91"/>
      <c r="EF178" s="91"/>
      <c r="EG178" s="91"/>
      <c r="EH178" s="91"/>
      <c r="EI178" s="91"/>
      <c r="EJ178" s="91"/>
      <c r="EK178" s="91"/>
      <c r="EL178" s="91"/>
      <c r="EM178" s="91"/>
      <c r="EN178" s="91"/>
      <c r="EO178" s="91"/>
      <c r="EP178" s="91"/>
      <c r="EQ178" s="91"/>
      <c r="ER178" s="91"/>
      <c r="ES178" s="91"/>
      <c r="ET178" s="91"/>
      <c r="EU178" s="91"/>
      <c r="EV178" s="91"/>
      <c r="EW178" s="91"/>
      <c r="EX178" s="91"/>
      <c r="EY178" s="91"/>
      <c r="EZ178" s="91"/>
      <c r="FA178" s="91"/>
      <c r="FB178" s="91"/>
      <c r="FC178" s="91"/>
      <c r="FD178" s="91"/>
      <c r="FE178" s="91"/>
      <c r="FF178" s="91"/>
      <c r="FG178" s="91"/>
      <c r="FH178" s="91"/>
      <c r="FI178" s="91"/>
      <c r="FJ178" s="91"/>
      <c r="FK178" s="91"/>
      <c r="FL178" s="91"/>
      <c r="FM178" s="91"/>
      <c r="FN178" s="91"/>
      <c r="FO178" s="91"/>
      <c r="FP178" s="91"/>
      <c r="FQ178" s="91"/>
      <c r="FR178" s="91"/>
      <c r="FS178" s="91"/>
      <c r="FT178" s="91"/>
      <c r="FU178" s="91"/>
      <c r="FV178" s="91"/>
    </row>
    <row r="179" spans="1:178" s="1" customFormat="1" ht="16.5" hidden="1" thickBot="1">
      <c r="A179" s="21"/>
      <c r="B179" s="357"/>
      <c r="C179" s="24" t="s">
        <v>29</v>
      </c>
      <c r="D179" s="26" t="e">
        <f>#REF!+#REF!</f>
        <v>#REF!</v>
      </c>
      <c r="E179" s="26" t="e">
        <f>#REF!+#REF!</f>
        <v>#REF!</v>
      </c>
      <c r="F179" s="26" t="e">
        <f>#REF!+#REF!</f>
        <v>#REF!</v>
      </c>
      <c r="G179" s="26" t="e">
        <f>#REF!+#REF!</f>
        <v>#REF!</v>
      </c>
      <c r="H179" s="26" t="e">
        <f>#REF!+#REF!</f>
        <v>#REF!</v>
      </c>
      <c r="I179" s="26"/>
      <c r="J179" s="26" t="e">
        <f>#REF!+#REF!</f>
        <v>#REF!</v>
      </c>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91"/>
      <c r="CI179" s="91"/>
      <c r="CJ179" s="91"/>
      <c r="CK179" s="91"/>
      <c r="CL179" s="91"/>
      <c r="CM179" s="91"/>
      <c r="CN179" s="91"/>
      <c r="CO179" s="91"/>
      <c r="CP179" s="91"/>
      <c r="CQ179" s="91"/>
      <c r="CR179" s="91"/>
      <c r="CS179" s="91"/>
      <c r="CT179" s="91"/>
      <c r="CU179" s="91"/>
      <c r="CV179" s="91"/>
      <c r="CW179" s="91"/>
      <c r="CX179" s="91"/>
      <c r="CY179" s="91"/>
      <c r="CZ179" s="91"/>
      <c r="DA179" s="91"/>
      <c r="DB179" s="91"/>
      <c r="DC179" s="91"/>
      <c r="DD179" s="91"/>
      <c r="DE179" s="91"/>
      <c r="DF179" s="91"/>
      <c r="DG179" s="91"/>
      <c r="DH179" s="91"/>
      <c r="DI179" s="91"/>
      <c r="DJ179" s="91"/>
      <c r="DK179" s="91"/>
      <c r="DL179" s="91"/>
      <c r="DM179" s="91"/>
      <c r="DN179" s="91"/>
      <c r="DO179" s="91"/>
      <c r="DP179" s="91"/>
      <c r="DQ179" s="91"/>
      <c r="DR179" s="91"/>
      <c r="DS179" s="91"/>
      <c r="DT179" s="91"/>
      <c r="DU179" s="91"/>
      <c r="DV179" s="91"/>
      <c r="DW179" s="91"/>
      <c r="DX179" s="91"/>
      <c r="DY179" s="91"/>
      <c r="DZ179" s="91"/>
      <c r="EA179" s="91"/>
      <c r="EB179" s="91"/>
      <c r="EC179" s="91"/>
      <c r="ED179" s="91"/>
      <c r="EE179" s="91"/>
      <c r="EF179" s="91"/>
      <c r="EG179" s="91"/>
      <c r="EH179" s="91"/>
      <c r="EI179" s="91"/>
      <c r="EJ179" s="91"/>
      <c r="EK179" s="91"/>
      <c r="EL179" s="91"/>
      <c r="EM179" s="91"/>
      <c r="EN179" s="91"/>
      <c r="EO179" s="91"/>
      <c r="EP179" s="91"/>
      <c r="EQ179" s="91"/>
      <c r="ER179" s="91"/>
      <c r="ES179" s="91"/>
      <c r="ET179" s="91"/>
      <c r="EU179" s="91"/>
      <c r="EV179" s="91"/>
      <c r="EW179" s="91"/>
      <c r="EX179" s="91"/>
      <c r="EY179" s="91"/>
      <c r="EZ179" s="91"/>
      <c r="FA179" s="91"/>
      <c r="FB179" s="91"/>
      <c r="FC179" s="91"/>
      <c r="FD179" s="91"/>
      <c r="FE179" s="91"/>
      <c r="FF179" s="91"/>
      <c r="FG179" s="91"/>
      <c r="FH179" s="91"/>
      <c r="FI179" s="91"/>
      <c r="FJ179" s="91"/>
      <c r="FK179" s="91"/>
      <c r="FL179" s="91"/>
      <c r="FM179" s="91"/>
      <c r="FN179" s="91"/>
      <c r="FO179" s="91"/>
      <c r="FP179" s="91"/>
      <c r="FQ179" s="91"/>
      <c r="FR179" s="91"/>
      <c r="FS179" s="91"/>
      <c r="FT179" s="91"/>
      <c r="FU179" s="91"/>
      <c r="FV179" s="91"/>
    </row>
    <row r="180" spans="1:178" s="1" customFormat="1" ht="16.5" hidden="1" thickBot="1">
      <c r="A180" s="21"/>
      <c r="B180" s="357"/>
      <c r="C180" s="24" t="s">
        <v>30</v>
      </c>
      <c r="D180" s="26" t="e">
        <f>D178+D179</f>
        <v>#REF!</v>
      </c>
      <c r="E180" s="26" t="e">
        <f aca="true" t="shared" si="32" ref="E180:J180">E178+E179</f>
        <v>#REF!</v>
      </c>
      <c r="F180" s="26" t="e">
        <f t="shared" si="32"/>
        <v>#REF!</v>
      </c>
      <c r="G180" s="26" t="e">
        <f t="shared" si="32"/>
        <v>#REF!</v>
      </c>
      <c r="H180" s="26" t="e">
        <f t="shared" si="32"/>
        <v>#REF!</v>
      </c>
      <c r="I180" s="26"/>
      <c r="J180" s="26" t="e">
        <f t="shared" si="32"/>
        <v>#REF!</v>
      </c>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91"/>
      <c r="CI180" s="91"/>
      <c r="CJ180" s="91"/>
      <c r="CK180" s="91"/>
      <c r="CL180" s="91"/>
      <c r="CM180" s="91"/>
      <c r="CN180" s="91"/>
      <c r="CO180" s="91"/>
      <c r="CP180" s="91"/>
      <c r="CQ180" s="91"/>
      <c r="CR180" s="91"/>
      <c r="CS180" s="91"/>
      <c r="CT180" s="91"/>
      <c r="CU180" s="91"/>
      <c r="CV180" s="91"/>
      <c r="CW180" s="91"/>
      <c r="CX180" s="91"/>
      <c r="CY180" s="91"/>
      <c r="CZ180" s="91"/>
      <c r="DA180" s="91"/>
      <c r="DB180" s="91"/>
      <c r="DC180" s="91"/>
      <c r="DD180" s="91"/>
      <c r="DE180" s="91"/>
      <c r="DF180" s="91"/>
      <c r="DG180" s="91"/>
      <c r="DH180" s="91"/>
      <c r="DI180" s="91"/>
      <c r="DJ180" s="91"/>
      <c r="DK180" s="91"/>
      <c r="DL180" s="91"/>
      <c r="DM180" s="91"/>
      <c r="DN180" s="91"/>
      <c r="DO180" s="91"/>
      <c r="DP180" s="91"/>
      <c r="DQ180" s="91"/>
      <c r="DR180" s="91"/>
      <c r="DS180" s="91"/>
      <c r="DT180" s="91"/>
      <c r="DU180" s="91"/>
      <c r="DV180" s="91"/>
      <c r="DW180" s="91"/>
      <c r="DX180" s="91"/>
      <c r="DY180" s="91"/>
      <c r="DZ180" s="91"/>
      <c r="EA180" s="91"/>
      <c r="EB180" s="91"/>
      <c r="EC180" s="91"/>
      <c r="ED180" s="91"/>
      <c r="EE180" s="91"/>
      <c r="EF180" s="91"/>
      <c r="EG180" s="91"/>
      <c r="EH180" s="91"/>
      <c r="EI180" s="91"/>
      <c r="EJ180" s="91"/>
      <c r="EK180" s="91"/>
      <c r="EL180" s="91"/>
      <c r="EM180" s="91"/>
      <c r="EN180" s="91"/>
      <c r="EO180" s="91"/>
      <c r="EP180" s="91"/>
      <c r="EQ180" s="91"/>
      <c r="ER180" s="91"/>
      <c r="ES180" s="91"/>
      <c r="ET180" s="91"/>
      <c r="EU180" s="91"/>
      <c r="EV180" s="91"/>
      <c r="EW180" s="91"/>
      <c r="EX180" s="91"/>
      <c r="EY180" s="91"/>
      <c r="EZ180" s="91"/>
      <c r="FA180" s="91"/>
      <c r="FB180" s="91"/>
      <c r="FC180" s="91"/>
      <c r="FD180" s="91"/>
      <c r="FE180" s="91"/>
      <c r="FF180" s="91"/>
      <c r="FG180" s="91"/>
      <c r="FH180" s="91"/>
      <c r="FI180" s="91"/>
      <c r="FJ180" s="91"/>
      <c r="FK180" s="91"/>
      <c r="FL180" s="91"/>
      <c r="FM180" s="91"/>
      <c r="FN180" s="91"/>
      <c r="FO180" s="91"/>
      <c r="FP180" s="91"/>
      <c r="FQ180" s="91"/>
      <c r="FR180" s="91"/>
      <c r="FS180" s="91"/>
      <c r="FT180" s="91"/>
      <c r="FU180" s="91"/>
      <c r="FV180" s="91"/>
    </row>
    <row r="181" spans="1:178" s="1" customFormat="1" ht="16.5" hidden="1" thickBot="1">
      <c r="A181" s="21"/>
      <c r="B181" s="357"/>
      <c r="C181" s="24" t="s">
        <v>31</v>
      </c>
      <c r="D181" s="26" t="e">
        <f>((D8+#REF!)-(D165)-((#REF!+#REF!)-D180))</f>
        <v>#REF!</v>
      </c>
      <c r="E181" s="26" t="e">
        <f>((E8+#REF!)-(E165)-((#REF!+#REF!)-E180))</f>
        <v>#REF!</v>
      </c>
      <c r="F181" s="26" t="e">
        <f>((F8+#REF!)-(F165)-((#REF!+#REF!)-F180))</f>
        <v>#REF!</v>
      </c>
      <c r="G181" s="26" t="e">
        <f>((G8+#REF!)-(G165)-((#REF!+#REF!)-G180))</f>
        <v>#REF!</v>
      </c>
      <c r="H181" s="26" t="e">
        <f>((H8+#REF!)-(H165)-((#REF!+#REF!)-H180))</f>
        <v>#REF!</v>
      </c>
      <c r="I181" s="26"/>
      <c r="J181" s="26" t="e">
        <f>((J8+#REF!)-(J165)-((#REF!+#REF!)-J180))</f>
        <v>#REF!</v>
      </c>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91"/>
      <c r="CI181" s="91"/>
      <c r="CJ181" s="91"/>
      <c r="CK181" s="91"/>
      <c r="CL181" s="91"/>
      <c r="CM181" s="91"/>
      <c r="CN181" s="91"/>
      <c r="CO181" s="91"/>
      <c r="CP181" s="91"/>
      <c r="CQ181" s="91"/>
      <c r="CR181" s="91"/>
      <c r="CS181" s="91"/>
      <c r="CT181" s="91"/>
      <c r="CU181" s="91"/>
      <c r="CV181" s="91"/>
      <c r="CW181" s="91"/>
      <c r="CX181" s="91"/>
      <c r="CY181" s="91"/>
      <c r="CZ181" s="91"/>
      <c r="DA181" s="91"/>
      <c r="DB181" s="91"/>
      <c r="DC181" s="91"/>
      <c r="DD181" s="91"/>
      <c r="DE181" s="91"/>
      <c r="DF181" s="91"/>
      <c r="DG181" s="91"/>
      <c r="DH181" s="91"/>
      <c r="DI181" s="91"/>
      <c r="DJ181" s="91"/>
      <c r="DK181" s="91"/>
      <c r="DL181" s="91"/>
      <c r="DM181" s="91"/>
      <c r="DN181" s="91"/>
      <c r="DO181" s="91"/>
      <c r="DP181" s="91"/>
      <c r="DQ181" s="91"/>
      <c r="DR181" s="91"/>
      <c r="DS181" s="91"/>
      <c r="DT181" s="91"/>
      <c r="DU181" s="91"/>
      <c r="DV181" s="91"/>
      <c r="DW181" s="91"/>
      <c r="DX181" s="91"/>
      <c r="DY181" s="91"/>
      <c r="DZ181" s="91"/>
      <c r="EA181" s="91"/>
      <c r="EB181" s="91"/>
      <c r="EC181" s="91"/>
      <c r="ED181" s="91"/>
      <c r="EE181" s="91"/>
      <c r="EF181" s="91"/>
      <c r="EG181" s="91"/>
      <c r="EH181" s="91"/>
      <c r="EI181" s="91"/>
      <c r="EJ181" s="91"/>
      <c r="EK181" s="91"/>
      <c r="EL181" s="91"/>
      <c r="EM181" s="91"/>
      <c r="EN181" s="91"/>
      <c r="EO181" s="91"/>
      <c r="EP181" s="91"/>
      <c r="EQ181" s="91"/>
      <c r="ER181" s="91"/>
      <c r="ES181" s="91"/>
      <c r="ET181" s="91"/>
      <c r="EU181" s="91"/>
      <c r="EV181" s="91"/>
      <c r="EW181" s="91"/>
      <c r="EX181" s="91"/>
      <c r="EY181" s="91"/>
      <c r="EZ181" s="91"/>
      <c r="FA181" s="91"/>
      <c r="FB181" s="91"/>
      <c r="FC181" s="91"/>
      <c r="FD181" s="91"/>
      <c r="FE181" s="91"/>
      <c r="FF181" s="91"/>
      <c r="FG181" s="91"/>
      <c r="FH181" s="91"/>
      <c r="FI181" s="91"/>
      <c r="FJ181" s="91"/>
      <c r="FK181" s="91"/>
      <c r="FL181" s="91"/>
      <c r="FM181" s="91"/>
      <c r="FN181" s="91"/>
      <c r="FO181" s="91"/>
      <c r="FP181" s="91"/>
      <c r="FQ181" s="91"/>
      <c r="FR181" s="91"/>
      <c r="FS181" s="91"/>
      <c r="FT181" s="91"/>
      <c r="FU181" s="91"/>
      <c r="FV181" s="91"/>
    </row>
    <row r="182" spans="1:178" s="1" customFormat="1" ht="16.5" hidden="1" thickBot="1">
      <c r="A182" s="21"/>
      <c r="B182" s="357"/>
      <c r="C182" s="27" t="s">
        <v>32</v>
      </c>
      <c r="D182" s="28" t="e">
        <f>-(D181-(D178-D19-D20-D21-#REF!))</f>
        <v>#REF!</v>
      </c>
      <c r="E182" s="28" t="e">
        <f>-(E181-(E178-E19-E20-E21-#REF!))</f>
        <v>#REF!</v>
      </c>
      <c r="F182" s="28" t="e">
        <f>-(F181-(F178-F19-F20-F21-#REF!))</f>
        <v>#REF!</v>
      </c>
      <c r="G182" s="28" t="e">
        <f>-(G181-(G178-G19-G20-G21-#REF!))</f>
        <v>#REF!</v>
      </c>
      <c r="H182" s="28" t="e">
        <f>-(H181-(H178-H19-H20-H21-#REF!))</f>
        <v>#REF!</v>
      </c>
      <c r="I182" s="28"/>
      <c r="J182" s="28" t="e">
        <f>-(J181-(J178-J19-J20-J21-#REF!))</f>
        <v>#REF!</v>
      </c>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91"/>
      <c r="CI182" s="91"/>
      <c r="CJ182" s="91"/>
      <c r="CK182" s="91"/>
      <c r="CL182" s="91"/>
      <c r="CM182" s="91"/>
      <c r="CN182" s="91"/>
      <c r="CO182" s="91"/>
      <c r="CP182" s="91"/>
      <c r="CQ182" s="91"/>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1"/>
      <c r="EN182" s="91"/>
      <c r="EO182" s="91"/>
      <c r="EP182" s="91"/>
      <c r="EQ182" s="91"/>
      <c r="ER182" s="91"/>
      <c r="ES182" s="91"/>
      <c r="ET182" s="91"/>
      <c r="EU182" s="91"/>
      <c r="EV182" s="91"/>
      <c r="EW182" s="91"/>
      <c r="EX182" s="91"/>
      <c r="EY182" s="91"/>
      <c r="EZ182" s="91"/>
      <c r="FA182" s="91"/>
      <c r="FB182" s="91"/>
      <c r="FC182" s="91"/>
      <c r="FD182" s="91"/>
      <c r="FE182" s="91"/>
      <c r="FF182" s="91"/>
      <c r="FG182" s="91"/>
      <c r="FH182" s="91"/>
      <c r="FI182" s="91"/>
      <c r="FJ182" s="91"/>
      <c r="FK182" s="91"/>
      <c r="FL182" s="91"/>
      <c r="FM182" s="91"/>
      <c r="FN182" s="91"/>
      <c r="FO182" s="91"/>
      <c r="FP182" s="91"/>
      <c r="FQ182" s="91"/>
      <c r="FR182" s="91"/>
      <c r="FS182" s="91"/>
      <c r="FT182" s="91"/>
      <c r="FU182" s="91"/>
      <c r="FV182" s="91"/>
    </row>
    <row r="183" spans="1:178" s="1" customFormat="1" ht="16.5" thickTop="1">
      <c r="A183" s="21"/>
      <c r="B183" s="357"/>
      <c r="C183" s="29"/>
      <c r="D183" s="378">
        <f>80427074.72+3440938.93+18984898.24+4579810.6+5602912.6+5505.58-D158</f>
        <v>0</v>
      </c>
      <c r="E183" s="378">
        <f>82922307.03+3544502.24+22182610.64+3616949.46+8355590.97-E158</f>
        <v>0</v>
      </c>
      <c r="F183" s="378">
        <f>100081963.55+8437194.94+3514113.86+24214397.41+5670514.35+2150.91+654+49278.4-F158</f>
        <v>0</v>
      </c>
      <c r="G183" s="378"/>
      <c r="H183" s="29"/>
      <c r="I183" s="29"/>
      <c r="J183" s="29"/>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91"/>
      <c r="CI183" s="91"/>
      <c r="CJ183" s="91"/>
      <c r="CK183" s="91"/>
      <c r="CL183" s="91"/>
      <c r="CM183" s="91"/>
      <c r="CN183" s="91"/>
      <c r="CO183" s="91"/>
      <c r="CP183" s="91"/>
      <c r="CQ183" s="91"/>
      <c r="CR183" s="91"/>
      <c r="CS183" s="91"/>
      <c r="CT183" s="91"/>
      <c r="CU183" s="91"/>
      <c r="CV183" s="91"/>
      <c r="CW183" s="91"/>
      <c r="CX183" s="91"/>
      <c r="CY183" s="91"/>
      <c r="CZ183" s="91"/>
      <c r="DA183" s="91"/>
      <c r="DB183" s="91"/>
      <c r="DC183" s="91"/>
      <c r="DD183" s="91"/>
      <c r="DE183" s="91"/>
      <c r="DF183" s="91"/>
      <c r="DG183" s="91"/>
      <c r="DH183" s="91"/>
      <c r="DI183" s="91"/>
      <c r="DJ183" s="91"/>
      <c r="DK183" s="91"/>
      <c r="DL183" s="91"/>
      <c r="DM183" s="91"/>
      <c r="DN183" s="91"/>
      <c r="DO183" s="91"/>
      <c r="DP183" s="91"/>
      <c r="DQ183" s="91"/>
      <c r="DR183" s="91"/>
      <c r="DS183" s="91"/>
      <c r="DT183" s="91"/>
      <c r="DU183" s="91"/>
      <c r="DV183" s="91"/>
      <c r="DW183" s="91"/>
      <c r="DX183" s="91"/>
      <c r="DY183" s="91"/>
      <c r="DZ183" s="91"/>
      <c r="EA183" s="91"/>
      <c r="EB183" s="91"/>
      <c r="EC183" s="91"/>
      <c r="ED183" s="91"/>
      <c r="EE183" s="91"/>
      <c r="EF183" s="91"/>
      <c r="EG183" s="91"/>
      <c r="EH183" s="91"/>
      <c r="EI183" s="91"/>
      <c r="EJ183" s="91"/>
      <c r="EK183" s="91"/>
      <c r="EL183" s="91"/>
      <c r="EM183" s="91"/>
      <c r="EN183" s="91"/>
      <c r="EO183" s="91"/>
      <c r="EP183" s="91"/>
      <c r="EQ183" s="91"/>
      <c r="ER183" s="91"/>
      <c r="ES183" s="91"/>
      <c r="ET183" s="91"/>
      <c r="EU183" s="91"/>
      <c r="EV183" s="91"/>
      <c r="EW183" s="91"/>
      <c r="EX183" s="91"/>
      <c r="EY183" s="91"/>
      <c r="EZ183" s="91"/>
      <c r="FA183" s="91"/>
      <c r="FB183" s="91"/>
      <c r="FC183" s="91"/>
      <c r="FD183" s="91"/>
      <c r="FE183" s="91"/>
      <c r="FF183" s="91"/>
      <c r="FG183" s="91"/>
      <c r="FH183" s="91"/>
      <c r="FI183" s="91"/>
      <c r="FJ183" s="91"/>
      <c r="FK183" s="91"/>
      <c r="FL183" s="91"/>
      <c r="FM183" s="91"/>
      <c r="FN183" s="91"/>
      <c r="FO183" s="91"/>
      <c r="FP183" s="91"/>
      <c r="FQ183" s="91"/>
      <c r="FR183" s="91"/>
      <c r="FS183" s="91"/>
      <c r="FT183" s="91"/>
      <c r="FU183" s="91"/>
      <c r="FV183" s="91"/>
    </row>
    <row r="184" spans="2:178" s="1" customFormat="1" ht="15.75">
      <c r="B184" s="358"/>
      <c r="C184" s="5"/>
      <c r="D184" s="5"/>
      <c r="E184" s="5"/>
      <c r="F184" s="5"/>
      <c r="G184" s="5"/>
      <c r="H184" s="5"/>
      <c r="I184" s="5"/>
      <c r="J184" s="5"/>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91"/>
      <c r="CI184" s="91"/>
      <c r="CJ184" s="91"/>
      <c r="CK184" s="91"/>
      <c r="CL184" s="91"/>
      <c r="CM184" s="91"/>
      <c r="CN184" s="91"/>
      <c r="CO184" s="91"/>
      <c r="CP184" s="91"/>
      <c r="CQ184" s="91"/>
      <c r="CR184" s="91"/>
      <c r="CS184" s="91"/>
      <c r="CT184" s="91"/>
      <c r="CU184" s="91"/>
      <c r="CV184" s="91"/>
      <c r="CW184" s="91"/>
      <c r="CX184" s="91"/>
      <c r="CY184" s="91"/>
      <c r="CZ184" s="91"/>
      <c r="DA184" s="91"/>
      <c r="DB184" s="91"/>
      <c r="DC184" s="91"/>
      <c r="DD184" s="91"/>
      <c r="DE184" s="91"/>
      <c r="DF184" s="91"/>
      <c r="DG184" s="91"/>
      <c r="DH184" s="91"/>
      <c r="DI184" s="91"/>
      <c r="DJ184" s="91"/>
      <c r="DK184" s="91"/>
      <c r="DL184" s="91"/>
      <c r="DM184" s="91"/>
      <c r="DN184" s="91"/>
      <c r="DO184" s="91"/>
      <c r="DP184" s="91"/>
      <c r="DQ184" s="91"/>
      <c r="DR184" s="91"/>
      <c r="DS184" s="91"/>
      <c r="DT184" s="91"/>
      <c r="DU184" s="91"/>
      <c r="DV184" s="91"/>
      <c r="DW184" s="91"/>
      <c r="DX184" s="91"/>
      <c r="DY184" s="91"/>
      <c r="DZ184" s="91"/>
      <c r="EA184" s="91"/>
      <c r="EB184" s="91"/>
      <c r="EC184" s="91"/>
      <c r="ED184" s="91"/>
      <c r="EE184" s="91"/>
      <c r="EF184" s="91"/>
      <c r="EG184" s="91"/>
      <c r="EH184" s="91"/>
      <c r="EI184" s="91"/>
      <c r="EJ184" s="91"/>
      <c r="EK184" s="91"/>
      <c r="EL184" s="91"/>
      <c r="EM184" s="91"/>
      <c r="EN184" s="91"/>
      <c r="EO184" s="91"/>
      <c r="EP184" s="91"/>
      <c r="EQ184" s="91"/>
      <c r="ER184" s="91"/>
      <c r="ES184" s="91"/>
      <c r="ET184" s="91"/>
      <c r="EU184" s="91"/>
      <c r="EV184" s="91"/>
      <c r="EW184" s="91"/>
      <c r="EX184" s="91"/>
      <c r="EY184" s="91"/>
      <c r="EZ184" s="91"/>
      <c r="FA184" s="91"/>
      <c r="FB184" s="91"/>
      <c r="FC184" s="91"/>
      <c r="FD184" s="91"/>
      <c r="FE184" s="91"/>
      <c r="FF184" s="91"/>
      <c r="FG184" s="91"/>
      <c r="FH184" s="91"/>
      <c r="FI184" s="91"/>
      <c r="FJ184" s="91"/>
      <c r="FK184" s="91"/>
      <c r="FL184" s="91"/>
      <c r="FM184" s="91"/>
      <c r="FN184" s="91"/>
      <c r="FO184" s="91"/>
      <c r="FP184" s="91"/>
      <c r="FQ184" s="91"/>
      <c r="FR184" s="91"/>
      <c r="FS184" s="91"/>
      <c r="FT184" s="91"/>
      <c r="FU184" s="91"/>
      <c r="FV184" s="91"/>
    </row>
    <row r="185" spans="2:178" s="1" customFormat="1" ht="15.75">
      <c r="B185" s="358"/>
      <c r="C185" s="5"/>
      <c r="D185" s="5"/>
      <c r="E185" s="5"/>
      <c r="F185" s="5"/>
      <c r="G185" s="5"/>
      <c r="H185" s="5"/>
      <c r="I185" s="5"/>
      <c r="J185" s="5"/>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91"/>
      <c r="CI185" s="91"/>
      <c r="CJ185" s="91"/>
      <c r="CK185" s="91"/>
      <c r="CL185" s="91"/>
      <c r="CM185" s="91"/>
      <c r="CN185" s="91"/>
      <c r="CO185" s="91"/>
      <c r="CP185" s="91"/>
      <c r="CQ185" s="91"/>
      <c r="CR185" s="91"/>
      <c r="CS185" s="91"/>
      <c r="CT185" s="91"/>
      <c r="CU185" s="91"/>
      <c r="CV185" s="91"/>
      <c r="CW185" s="91"/>
      <c r="CX185" s="91"/>
      <c r="CY185" s="91"/>
      <c r="CZ185" s="91"/>
      <c r="DA185" s="91"/>
      <c r="DB185" s="91"/>
      <c r="DC185" s="91"/>
      <c r="DD185" s="91"/>
      <c r="DE185" s="91"/>
      <c r="DF185" s="91"/>
      <c r="DG185" s="91"/>
      <c r="DH185" s="91"/>
      <c r="DI185" s="91"/>
      <c r="DJ185" s="91"/>
      <c r="DK185" s="91"/>
      <c r="DL185" s="91"/>
      <c r="DM185" s="91"/>
      <c r="DN185" s="91"/>
      <c r="DO185" s="91"/>
      <c r="DP185" s="91"/>
      <c r="DQ185" s="91"/>
      <c r="DR185" s="91"/>
      <c r="DS185" s="91"/>
      <c r="DT185" s="91"/>
      <c r="DU185" s="91"/>
      <c r="DV185" s="91"/>
      <c r="DW185" s="91"/>
      <c r="DX185" s="91"/>
      <c r="DY185" s="91"/>
      <c r="DZ185" s="91"/>
      <c r="EA185" s="91"/>
      <c r="EB185" s="91"/>
      <c r="EC185" s="91"/>
      <c r="ED185" s="91"/>
      <c r="EE185" s="91"/>
      <c r="EF185" s="91"/>
      <c r="EG185" s="91"/>
      <c r="EH185" s="91"/>
      <c r="EI185" s="91"/>
      <c r="EJ185" s="91"/>
      <c r="EK185" s="91"/>
      <c r="EL185" s="91"/>
      <c r="EM185" s="91"/>
      <c r="EN185" s="91"/>
      <c r="EO185" s="91"/>
      <c r="EP185" s="91"/>
      <c r="EQ185" s="91"/>
      <c r="ER185" s="91"/>
      <c r="ES185" s="91"/>
      <c r="ET185" s="91"/>
      <c r="EU185" s="91"/>
      <c r="EV185" s="91"/>
      <c r="EW185" s="91"/>
      <c r="EX185" s="91"/>
      <c r="EY185" s="91"/>
      <c r="EZ185" s="91"/>
      <c r="FA185" s="91"/>
      <c r="FB185" s="91"/>
      <c r="FC185" s="91"/>
      <c r="FD185" s="91"/>
      <c r="FE185" s="91"/>
      <c r="FF185" s="91"/>
      <c r="FG185" s="91"/>
      <c r="FH185" s="91"/>
      <c r="FI185" s="91"/>
      <c r="FJ185" s="91"/>
      <c r="FK185" s="91"/>
      <c r="FL185" s="91"/>
      <c r="FM185" s="91"/>
      <c r="FN185" s="91"/>
      <c r="FO185" s="91"/>
      <c r="FP185" s="91"/>
      <c r="FQ185" s="91"/>
      <c r="FR185" s="91"/>
      <c r="FS185" s="91"/>
      <c r="FT185" s="91"/>
      <c r="FU185" s="91"/>
      <c r="FV185" s="91"/>
    </row>
    <row r="186" spans="2:178" s="1" customFormat="1" ht="15.75">
      <c r="B186" s="358"/>
      <c r="C186" s="5"/>
      <c r="D186" s="5"/>
      <c r="E186" s="5"/>
      <c r="F186" s="5"/>
      <c r="G186" s="5"/>
      <c r="H186" s="5"/>
      <c r="I186" s="5"/>
      <c r="J186" s="5"/>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91"/>
      <c r="CI186" s="91"/>
      <c r="CJ186" s="91"/>
      <c r="CK186" s="91"/>
      <c r="CL186" s="91"/>
      <c r="CM186" s="91"/>
      <c r="CN186" s="91"/>
      <c r="CO186" s="91"/>
      <c r="CP186" s="91"/>
      <c r="CQ186" s="91"/>
      <c r="CR186" s="91"/>
      <c r="CS186" s="91"/>
      <c r="CT186" s="91"/>
      <c r="CU186" s="91"/>
      <c r="CV186" s="91"/>
      <c r="CW186" s="91"/>
      <c r="CX186" s="91"/>
      <c r="CY186" s="91"/>
      <c r="CZ186" s="91"/>
      <c r="DA186" s="91"/>
      <c r="DB186" s="91"/>
      <c r="DC186" s="91"/>
      <c r="DD186" s="91"/>
      <c r="DE186" s="91"/>
      <c r="DF186" s="91"/>
      <c r="DG186" s="91"/>
      <c r="DH186" s="91"/>
      <c r="DI186" s="91"/>
      <c r="DJ186" s="91"/>
      <c r="DK186" s="91"/>
      <c r="DL186" s="91"/>
      <c r="DM186" s="91"/>
      <c r="DN186" s="91"/>
      <c r="DO186" s="91"/>
      <c r="DP186" s="91"/>
      <c r="DQ186" s="91"/>
      <c r="DR186" s="91"/>
      <c r="DS186" s="91"/>
      <c r="DT186" s="91"/>
      <c r="DU186" s="91"/>
      <c r="DV186" s="91"/>
      <c r="DW186" s="91"/>
      <c r="DX186" s="91"/>
      <c r="DY186" s="91"/>
      <c r="DZ186" s="91"/>
      <c r="EA186" s="91"/>
      <c r="EB186" s="91"/>
      <c r="EC186" s="91"/>
      <c r="ED186" s="91"/>
      <c r="EE186" s="91"/>
      <c r="EF186" s="91"/>
      <c r="EG186" s="91"/>
      <c r="EH186" s="91"/>
      <c r="EI186" s="91"/>
      <c r="EJ186" s="91"/>
      <c r="EK186" s="91"/>
      <c r="EL186" s="91"/>
      <c r="EM186" s="91"/>
      <c r="EN186" s="91"/>
      <c r="EO186" s="91"/>
      <c r="EP186" s="91"/>
      <c r="EQ186" s="91"/>
      <c r="ER186" s="91"/>
      <c r="ES186" s="91"/>
      <c r="ET186" s="91"/>
      <c r="EU186" s="91"/>
      <c r="EV186" s="91"/>
      <c r="EW186" s="91"/>
      <c r="EX186" s="91"/>
      <c r="EY186" s="91"/>
      <c r="EZ186" s="91"/>
      <c r="FA186" s="91"/>
      <c r="FB186" s="91"/>
      <c r="FC186" s="91"/>
      <c r="FD186" s="91"/>
      <c r="FE186" s="91"/>
      <c r="FF186" s="91"/>
      <c r="FG186" s="91"/>
      <c r="FH186" s="91"/>
      <c r="FI186" s="91"/>
      <c r="FJ186" s="91"/>
      <c r="FK186" s="91"/>
      <c r="FL186" s="91"/>
      <c r="FM186" s="91"/>
      <c r="FN186" s="91"/>
      <c r="FO186" s="91"/>
      <c r="FP186" s="91"/>
      <c r="FQ186" s="91"/>
      <c r="FR186" s="91"/>
      <c r="FS186" s="91"/>
      <c r="FT186" s="91"/>
      <c r="FU186" s="91"/>
      <c r="FV186" s="91"/>
    </row>
    <row r="187" spans="2:178" s="1" customFormat="1" ht="15.75">
      <c r="B187" s="358"/>
      <c r="C187" s="5"/>
      <c r="D187" s="5"/>
      <c r="E187" s="5"/>
      <c r="F187" s="5"/>
      <c r="G187" s="5"/>
      <c r="H187" s="5"/>
      <c r="I187" s="5"/>
      <c r="J187" s="5"/>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91"/>
      <c r="CI187" s="91"/>
      <c r="CJ187" s="91"/>
      <c r="CK187" s="91"/>
      <c r="CL187" s="91"/>
      <c r="CM187" s="91"/>
      <c r="CN187" s="91"/>
      <c r="CO187" s="91"/>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91"/>
      <c r="DL187" s="91"/>
      <c r="DM187" s="91"/>
      <c r="DN187" s="91"/>
      <c r="DO187" s="91"/>
      <c r="DP187" s="91"/>
      <c r="DQ187" s="91"/>
      <c r="DR187" s="91"/>
      <c r="DS187" s="91"/>
      <c r="DT187" s="91"/>
      <c r="DU187" s="91"/>
      <c r="DV187" s="91"/>
      <c r="DW187" s="91"/>
      <c r="DX187" s="91"/>
      <c r="DY187" s="91"/>
      <c r="DZ187" s="91"/>
      <c r="EA187" s="91"/>
      <c r="EB187" s="91"/>
      <c r="EC187" s="91"/>
      <c r="ED187" s="91"/>
      <c r="EE187" s="91"/>
      <c r="EF187" s="91"/>
      <c r="EG187" s="91"/>
      <c r="EH187" s="91"/>
      <c r="EI187" s="91"/>
      <c r="EJ187" s="91"/>
      <c r="EK187" s="91"/>
      <c r="EL187" s="91"/>
      <c r="EM187" s="91"/>
      <c r="EN187" s="91"/>
      <c r="EO187" s="91"/>
      <c r="EP187" s="91"/>
      <c r="EQ187" s="91"/>
      <c r="ER187" s="91"/>
      <c r="ES187" s="91"/>
      <c r="ET187" s="91"/>
      <c r="EU187" s="91"/>
      <c r="EV187" s="91"/>
      <c r="EW187" s="91"/>
      <c r="EX187" s="91"/>
      <c r="EY187" s="91"/>
      <c r="EZ187" s="91"/>
      <c r="FA187" s="91"/>
      <c r="FB187" s="91"/>
      <c r="FC187" s="91"/>
      <c r="FD187" s="91"/>
      <c r="FE187" s="91"/>
      <c r="FF187" s="91"/>
      <c r="FG187" s="91"/>
      <c r="FH187" s="91"/>
      <c r="FI187" s="91"/>
      <c r="FJ187" s="91"/>
      <c r="FK187" s="91"/>
      <c r="FL187" s="91"/>
      <c r="FM187" s="91"/>
      <c r="FN187" s="91"/>
      <c r="FO187" s="91"/>
      <c r="FP187" s="91"/>
      <c r="FQ187" s="91"/>
      <c r="FR187" s="91"/>
      <c r="FS187" s="91"/>
      <c r="FT187" s="91"/>
      <c r="FU187" s="91"/>
      <c r="FV187" s="91"/>
    </row>
    <row r="188" spans="1:178" s="1" customFormat="1" ht="15.75">
      <c r="A188" s="5"/>
      <c r="B188" s="5"/>
      <c r="C188" s="5"/>
      <c r="D188" s="5"/>
      <c r="E188" s="5"/>
      <c r="F188" s="5"/>
      <c r="G188" s="5"/>
      <c r="H188" s="5"/>
      <c r="I188" s="5"/>
      <c r="J188" s="5"/>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91"/>
      <c r="CI188" s="91"/>
      <c r="CJ188" s="91"/>
      <c r="CK188" s="91"/>
      <c r="CL188" s="91"/>
      <c r="CM188" s="91"/>
      <c r="CN188" s="91"/>
      <c r="CO188" s="91"/>
      <c r="CP188" s="91"/>
      <c r="CQ188" s="91"/>
      <c r="CR188" s="91"/>
      <c r="CS188" s="91"/>
      <c r="CT188" s="91"/>
      <c r="CU188" s="91"/>
      <c r="CV188" s="91"/>
      <c r="CW188" s="91"/>
      <c r="CX188" s="91"/>
      <c r="CY188" s="91"/>
      <c r="CZ188" s="91"/>
      <c r="DA188" s="91"/>
      <c r="DB188" s="91"/>
      <c r="DC188" s="91"/>
      <c r="DD188" s="91"/>
      <c r="DE188" s="91"/>
      <c r="DF188" s="91"/>
      <c r="DG188" s="91"/>
      <c r="DH188" s="91"/>
      <c r="DI188" s="91"/>
      <c r="DJ188" s="91"/>
      <c r="DK188" s="91"/>
      <c r="DL188" s="91"/>
      <c r="DM188" s="91"/>
      <c r="DN188" s="91"/>
      <c r="DO188" s="91"/>
      <c r="DP188" s="91"/>
      <c r="DQ188" s="91"/>
      <c r="DR188" s="91"/>
      <c r="DS188" s="91"/>
      <c r="DT188" s="91"/>
      <c r="DU188" s="91"/>
      <c r="DV188" s="91"/>
      <c r="DW188" s="91"/>
      <c r="DX188" s="91"/>
      <c r="DY188" s="91"/>
      <c r="DZ188" s="91"/>
      <c r="EA188" s="91"/>
      <c r="EB188" s="91"/>
      <c r="EC188" s="91"/>
      <c r="ED188" s="91"/>
      <c r="EE188" s="91"/>
      <c r="EF188" s="91"/>
      <c r="EG188" s="91"/>
      <c r="EH188" s="91"/>
      <c r="EI188" s="91"/>
      <c r="EJ188" s="91"/>
      <c r="EK188" s="91"/>
      <c r="EL188" s="91"/>
      <c r="EM188" s="91"/>
      <c r="EN188" s="91"/>
      <c r="EO188" s="91"/>
      <c r="EP188" s="91"/>
      <c r="EQ188" s="91"/>
      <c r="ER188" s="91"/>
      <c r="ES188" s="91"/>
      <c r="ET188" s="91"/>
      <c r="EU188" s="91"/>
      <c r="EV188" s="91"/>
      <c r="EW188" s="91"/>
      <c r="EX188" s="91"/>
      <c r="EY188" s="91"/>
      <c r="EZ188" s="91"/>
      <c r="FA188" s="91"/>
      <c r="FB188" s="91"/>
      <c r="FC188" s="91"/>
      <c r="FD188" s="91"/>
      <c r="FE188" s="91"/>
      <c r="FF188" s="91"/>
      <c r="FG188" s="91"/>
      <c r="FH188" s="91"/>
      <c r="FI188" s="91"/>
      <c r="FJ188" s="91"/>
      <c r="FK188" s="91"/>
      <c r="FL188" s="91"/>
      <c r="FM188" s="91"/>
      <c r="FN188" s="91"/>
      <c r="FO188" s="91"/>
      <c r="FP188" s="91"/>
      <c r="FQ188" s="91"/>
      <c r="FR188" s="91"/>
      <c r="FS188" s="91"/>
      <c r="FT188" s="91"/>
      <c r="FU188" s="91"/>
      <c r="FV188" s="91"/>
    </row>
    <row r="189" spans="2:178" s="1" customFormat="1" ht="15.75">
      <c r="B189" s="358"/>
      <c r="C189" s="5"/>
      <c r="D189" s="5"/>
      <c r="E189" s="5"/>
      <c r="F189" s="5"/>
      <c r="G189" s="5"/>
      <c r="H189" s="5"/>
      <c r="I189" s="5"/>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91"/>
      <c r="CI189" s="91"/>
      <c r="CJ189" s="91"/>
      <c r="CK189" s="91"/>
      <c r="CL189" s="91"/>
      <c r="CM189" s="91"/>
      <c r="CN189" s="91"/>
      <c r="CO189" s="91"/>
      <c r="CP189" s="91"/>
      <c r="CQ189" s="91"/>
      <c r="CR189" s="91"/>
      <c r="CS189" s="91"/>
      <c r="CT189" s="91"/>
      <c r="CU189" s="91"/>
      <c r="CV189" s="91"/>
      <c r="CW189" s="91"/>
      <c r="CX189" s="91"/>
      <c r="CY189" s="91"/>
      <c r="CZ189" s="91"/>
      <c r="DA189" s="91"/>
      <c r="DB189" s="91"/>
      <c r="DC189" s="91"/>
      <c r="DD189" s="91"/>
      <c r="DE189" s="91"/>
      <c r="DF189" s="91"/>
      <c r="DG189" s="91"/>
      <c r="DH189" s="91"/>
      <c r="DI189" s="91"/>
      <c r="DJ189" s="91"/>
      <c r="DK189" s="91"/>
      <c r="DL189" s="91"/>
      <c r="DM189" s="91"/>
      <c r="DN189" s="91"/>
      <c r="DO189" s="91"/>
      <c r="DP189" s="91"/>
      <c r="DQ189" s="91"/>
      <c r="DR189" s="91"/>
      <c r="DS189" s="91"/>
      <c r="DT189" s="91"/>
      <c r="DU189" s="91"/>
      <c r="DV189" s="91"/>
      <c r="DW189" s="91"/>
      <c r="DX189" s="91"/>
      <c r="DY189" s="91"/>
      <c r="DZ189" s="91"/>
      <c r="EA189" s="91"/>
      <c r="EB189" s="91"/>
      <c r="EC189" s="91"/>
      <c r="ED189" s="91"/>
      <c r="EE189" s="91"/>
      <c r="EF189" s="91"/>
      <c r="EG189" s="91"/>
      <c r="EH189" s="91"/>
      <c r="EI189" s="91"/>
      <c r="EJ189" s="91"/>
      <c r="EK189" s="91"/>
      <c r="EL189" s="91"/>
      <c r="EM189" s="91"/>
      <c r="EN189" s="91"/>
      <c r="EO189" s="91"/>
      <c r="EP189" s="91"/>
      <c r="EQ189" s="91"/>
      <c r="ER189" s="91"/>
      <c r="ES189" s="91"/>
      <c r="ET189" s="91"/>
      <c r="EU189" s="91"/>
      <c r="EV189" s="91"/>
      <c r="EW189" s="91"/>
      <c r="EX189" s="91"/>
      <c r="EY189" s="91"/>
      <c r="EZ189" s="91"/>
      <c r="FA189" s="91"/>
      <c r="FB189" s="91"/>
      <c r="FC189" s="91"/>
      <c r="FD189" s="91"/>
      <c r="FE189" s="91"/>
      <c r="FF189" s="91"/>
      <c r="FG189" s="91"/>
      <c r="FH189" s="91"/>
      <c r="FI189" s="91"/>
      <c r="FJ189" s="91"/>
      <c r="FK189" s="91"/>
      <c r="FL189" s="91"/>
      <c r="FM189" s="91"/>
      <c r="FN189" s="91"/>
      <c r="FO189" s="91"/>
      <c r="FP189" s="91"/>
      <c r="FQ189" s="91"/>
      <c r="FR189" s="91"/>
      <c r="FS189" s="91"/>
      <c r="FT189" s="91"/>
      <c r="FU189" s="91"/>
      <c r="FV189" s="91"/>
    </row>
    <row r="190" spans="2:178" s="1" customFormat="1" ht="15.75">
      <c r="B190" s="358"/>
      <c r="C190" s="5"/>
      <c r="D190" s="5"/>
      <c r="E190" s="5"/>
      <c r="F190" s="5"/>
      <c r="G190" s="5"/>
      <c r="H190" s="5"/>
      <c r="I190" s="5"/>
      <c r="J190" s="5"/>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91"/>
      <c r="CI190" s="91"/>
      <c r="CJ190" s="91"/>
      <c r="CK190" s="91"/>
      <c r="CL190" s="91"/>
      <c r="CM190" s="91"/>
      <c r="CN190" s="91"/>
      <c r="CO190" s="91"/>
      <c r="CP190" s="91"/>
      <c r="CQ190" s="91"/>
      <c r="CR190" s="91"/>
      <c r="CS190" s="91"/>
      <c r="CT190" s="91"/>
      <c r="CU190" s="91"/>
      <c r="CV190" s="91"/>
      <c r="CW190" s="91"/>
      <c r="CX190" s="91"/>
      <c r="CY190" s="91"/>
      <c r="CZ190" s="91"/>
      <c r="DA190" s="91"/>
      <c r="DB190" s="91"/>
      <c r="DC190" s="91"/>
      <c r="DD190" s="91"/>
      <c r="DE190" s="91"/>
      <c r="DF190" s="91"/>
      <c r="DG190" s="91"/>
      <c r="DH190" s="91"/>
      <c r="DI190" s="91"/>
      <c r="DJ190" s="91"/>
      <c r="DK190" s="91"/>
      <c r="DL190" s="91"/>
      <c r="DM190" s="91"/>
      <c r="DN190" s="91"/>
      <c r="DO190" s="91"/>
      <c r="DP190" s="91"/>
      <c r="DQ190" s="91"/>
      <c r="DR190" s="91"/>
      <c r="DS190" s="91"/>
      <c r="DT190" s="91"/>
      <c r="DU190" s="91"/>
      <c r="DV190" s="91"/>
      <c r="DW190" s="91"/>
      <c r="DX190" s="91"/>
      <c r="DY190" s="91"/>
      <c r="DZ190" s="91"/>
      <c r="EA190" s="91"/>
      <c r="EB190" s="91"/>
      <c r="EC190" s="91"/>
      <c r="ED190" s="91"/>
      <c r="EE190" s="91"/>
      <c r="EF190" s="91"/>
      <c r="EG190" s="91"/>
      <c r="EH190" s="91"/>
      <c r="EI190" s="91"/>
      <c r="EJ190" s="91"/>
      <c r="EK190" s="91"/>
      <c r="EL190" s="91"/>
      <c r="EM190" s="91"/>
      <c r="EN190" s="91"/>
      <c r="EO190" s="91"/>
      <c r="EP190" s="91"/>
      <c r="EQ190" s="91"/>
      <c r="ER190" s="91"/>
      <c r="ES190" s="91"/>
      <c r="ET190" s="91"/>
      <c r="EU190" s="91"/>
      <c r="EV190" s="91"/>
      <c r="EW190" s="91"/>
      <c r="EX190" s="91"/>
      <c r="EY190" s="91"/>
      <c r="EZ190" s="91"/>
      <c r="FA190" s="91"/>
      <c r="FB190" s="91"/>
      <c r="FC190" s="91"/>
      <c r="FD190" s="91"/>
      <c r="FE190" s="91"/>
      <c r="FF190" s="91"/>
      <c r="FG190" s="91"/>
      <c r="FH190" s="91"/>
      <c r="FI190" s="91"/>
      <c r="FJ190" s="91"/>
      <c r="FK190" s="91"/>
      <c r="FL190" s="91"/>
      <c r="FM190" s="91"/>
      <c r="FN190" s="91"/>
      <c r="FO190" s="91"/>
      <c r="FP190" s="91"/>
      <c r="FQ190" s="91"/>
      <c r="FR190" s="91"/>
      <c r="FS190" s="91"/>
      <c r="FT190" s="91"/>
      <c r="FU190" s="91"/>
      <c r="FV190" s="91"/>
    </row>
    <row r="191" spans="2:178" s="1" customFormat="1" ht="15.75">
      <c r="B191" s="358"/>
      <c r="C191" s="433"/>
      <c r="D191" s="5"/>
      <c r="E191" s="433"/>
      <c r="F191" s="5"/>
      <c r="G191" s="433"/>
      <c r="H191" s="5"/>
      <c r="I191" s="5"/>
      <c r="J191" s="5"/>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91"/>
      <c r="CI191" s="91"/>
      <c r="CJ191" s="91"/>
      <c r="CK191" s="91"/>
      <c r="CL191" s="91"/>
      <c r="CM191" s="91"/>
      <c r="CN191" s="91"/>
      <c r="CO191" s="91"/>
      <c r="CP191" s="91"/>
      <c r="CQ191" s="91"/>
      <c r="CR191" s="91"/>
      <c r="CS191" s="91"/>
      <c r="CT191" s="91"/>
      <c r="CU191" s="91"/>
      <c r="CV191" s="91"/>
      <c r="CW191" s="91"/>
      <c r="CX191" s="91"/>
      <c r="CY191" s="91"/>
      <c r="CZ191" s="91"/>
      <c r="DA191" s="91"/>
      <c r="DB191" s="91"/>
      <c r="DC191" s="91"/>
      <c r="DD191" s="91"/>
      <c r="DE191" s="91"/>
      <c r="DF191" s="91"/>
      <c r="DG191" s="91"/>
      <c r="DH191" s="91"/>
      <c r="DI191" s="91"/>
      <c r="DJ191" s="91"/>
      <c r="DK191" s="91"/>
      <c r="DL191" s="91"/>
      <c r="DM191" s="91"/>
      <c r="DN191" s="91"/>
      <c r="DO191" s="91"/>
      <c r="DP191" s="91"/>
      <c r="DQ191" s="91"/>
      <c r="DR191" s="91"/>
      <c r="DS191" s="91"/>
      <c r="DT191" s="91"/>
      <c r="DU191" s="91"/>
      <c r="DV191" s="91"/>
      <c r="DW191" s="91"/>
      <c r="DX191" s="91"/>
      <c r="DY191" s="91"/>
      <c r="DZ191" s="91"/>
      <c r="EA191" s="91"/>
      <c r="EB191" s="91"/>
      <c r="EC191" s="91"/>
      <c r="ED191" s="91"/>
      <c r="EE191" s="91"/>
      <c r="EF191" s="91"/>
      <c r="EG191" s="91"/>
      <c r="EH191" s="91"/>
      <c r="EI191" s="91"/>
      <c r="EJ191" s="91"/>
      <c r="EK191" s="91"/>
      <c r="EL191" s="91"/>
      <c r="EM191" s="91"/>
      <c r="EN191" s="91"/>
      <c r="EO191" s="91"/>
      <c r="EP191" s="91"/>
      <c r="EQ191" s="91"/>
      <c r="ER191" s="91"/>
      <c r="ES191" s="91"/>
      <c r="ET191" s="91"/>
      <c r="EU191" s="91"/>
      <c r="EV191" s="91"/>
      <c r="EW191" s="91"/>
      <c r="EX191" s="91"/>
      <c r="EY191" s="91"/>
      <c r="EZ191" s="91"/>
      <c r="FA191" s="91"/>
      <c r="FB191" s="91"/>
      <c r="FC191" s="91"/>
      <c r="FD191" s="91"/>
      <c r="FE191" s="91"/>
      <c r="FF191" s="91"/>
      <c r="FG191" s="91"/>
      <c r="FH191" s="91"/>
      <c r="FI191" s="91"/>
      <c r="FJ191" s="91"/>
      <c r="FK191" s="91"/>
      <c r="FL191" s="91"/>
      <c r="FM191" s="91"/>
      <c r="FN191" s="91"/>
      <c r="FO191" s="91"/>
      <c r="FP191" s="91"/>
      <c r="FQ191" s="91"/>
      <c r="FR191" s="91"/>
      <c r="FS191" s="91"/>
      <c r="FT191" s="91"/>
      <c r="FU191" s="91"/>
      <c r="FV191" s="91"/>
    </row>
    <row r="192" spans="3:178" s="1" customFormat="1" ht="15.75">
      <c r="C192" s="432" t="s">
        <v>656</v>
      </c>
      <c r="E192" s="432" t="s">
        <v>653</v>
      </c>
      <c r="F192" s="11"/>
      <c r="G192" s="432" t="s">
        <v>654</v>
      </c>
      <c r="H192" s="5"/>
      <c r="I192" s="5"/>
      <c r="J192" s="5"/>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91"/>
      <c r="CI192" s="91"/>
      <c r="CJ192" s="91"/>
      <c r="CK192" s="91"/>
      <c r="CL192" s="91"/>
      <c r="CM192" s="91"/>
      <c r="CN192" s="91"/>
      <c r="CO192" s="91"/>
      <c r="CP192" s="91"/>
      <c r="CQ192" s="91"/>
      <c r="CR192" s="91"/>
      <c r="CS192" s="91"/>
      <c r="CT192" s="91"/>
      <c r="CU192" s="91"/>
      <c r="CV192" s="91"/>
      <c r="CW192" s="91"/>
      <c r="CX192" s="91"/>
      <c r="CY192" s="91"/>
      <c r="CZ192" s="91"/>
      <c r="DA192" s="91"/>
      <c r="DB192" s="91"/>
      <c r="DC192" s="91"/>
      <c r="DD192" s="91"/>
      <c r="DE192" s="91"/>
      <c r="DF192" s="91"/>
      <c r="DG192" s="91"/>
      <c r="DH192" s="91"/>
      <c r="DI192" s="91"/>
      <c r="DJ192" s="91"/>
      <c r="DK192" s="91"/>
      <c r="DL192" s="91"/>
      <c r="DM192" s="91"/>
      <c r="DN192" s="91"/>
      <c r="DO192" s="91"/>
      <c r="DP192" s="91"/>
      <c r="DQ192" s="91"/>
      <c r="DR192" s="91"/>
      <c r="DS192" s="91"/>
      <c r="DT192" s="91"/>
      <c r="DU192" s="91"/>
      <c r="DV192" s="91"/>
      <c r="DW192" s="91"/>
      <c r="DX192" s="91"/>
      <c r="DY192" s="91"/>
      <c r="DZ192" s="91"/>
      <c r="EA192" s="91"/>
      <c r="EB192" s="91"/>
      <c r="EC192" s="91"/>
      <c r="ED192" s="91"/>
      <c r="EE192" s="91"/>
      <c r="EF192" s="91"/>
      <c r="EG192" s="91"/>
      <c r="EH192" s="91"/>
      <c r="EI192" s="91"/>
      <c r="EJ192" s="91"/>
      <c r="EK192" s="91"/>
      <c r="EL192" s="91"/>
      <c r="EM192" s="91"/>
      <c r="EN192" s="91"/>
      <c r="EO192" s="91"/>
      <c r="EP192" s="91"/>
      <c r="EQ192" s="91"/>
      <c r="ER192" s="91"/>
      <c r="ES192" s="91"/>
      <c r="ET192" s="91"/>
      <c r="EU192" s="91"/>
      <c r="EV192" s="91"/>
      <c r="EW192" s="91"/>
      <c r="EX192" s="91"/>
      <c r="EY192" s="91"/>
      <c r="EZ192" s="91"/>
      <c r="FA192" s="91"/>
      <c r="FB192" s="91"/>
      <c r="FC192" s="91"/>
      <c r="FD192" s="91"/>
      <c r="FE192" s="91"/>
      <c r="FF192" s="91"/>
      <c r="FG192" s="91"/>
      <c r="FH192" s="91"/>
      <c r="FI192" s="91"/>
      <c r="FJ192" s="91"/>
      <c r="FK192" s="91"/>
      <c r="FL192" s="91"/>
      <c r="FM192" s="91"/>
      <c r="FN192" s="91"/>
      <c r="FO192" s="91"/>
      <c r="FP192" s="91"/>
      <c r="FQ192" s="91"/>
      <c r="FR192" s="91"/>
      <c r="FS192" s="91"/>
      <c r="FT192" s="91"/>
      <c r="FU192" s="91"/>
      <c r="FV192" s="91"/>
    </row>
    <row r="193" spans="3:178" s="1" customFormat="1" ht="15.75">
      <c r="C193" s="432" t="s">
        <v>662</v>
      </c>
      <c r="E193" s="432" t="s">
        <v>657</v>
      </c>
      <c r="F193" s="11"/>
      <c r="G193" s="432" t="s">
        <v>661</v>
      </c>
      <c r="H193" s="5"/>
      <c r="I193" s="5"/>
      <c r="J193" s="5"/>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91"/>
      <c r="CI193" s="91"/>
      <c r="CJ193" s="91"/>
      <c r="CK193" s="91"/>
      <c r="CL193" s="91"/>
      <c r="CM193" s="91"/>
      <c r="CN193" s="91"/>
      <c r="CO193" s="91"/>
      <c r="CP193" s="91"/>
      <c r="CQ193" s="91"/>
      <c r="CR193" s="91"/>
      <c r="CS193" s="91"/>
      <c r="CT193" s="91"/>
      <c r="CU193" s="91"/>
      <c r="CV193" s="91"/>
      <c r="CW193" s="91"/>
      <c r="CX193" s="91"/>
      <c r="CY193" s="91"/>
      <c r="CZ193" s="91"/>
      <c r="DA193" s="91"/>
      <c r="DB193" s="91"/>
      <c r="DC193" s="91"/>
      <c r="DD193" s="91"/>
      <c r="DE193" s="91"/>
      <c r="DF193" s="91"/>
      <c r="DG193" s="91"/>
      <c r="DH193" s="91"/>
      <c r="DI193" s="91"/>
      <c r="DJ193" s="91"/>
      <c r="DK193" s="91"/>
      <c r="DL193" s="91"/>
      <c r="DM193" s="91"/>
      <c r="DN193" s="91"/>
      <c r="DO193" s="91"/>
      <c r="DP193" s="91"/>
      <c r="DQ193" s="91"/>
      <c r="DR193" s="91"/>
      <c r="DS193" s="91"/>
      <c r="DT193" s="91"/>
      <c r="DU193" s="91"/>
      <c r="DV193" s="91"/>
      <c r="DW193" s="91"/>
      <c r="DX193" s="91"/>
      <c r="DY193" s="91"/>
      <c r="DZ193" s="91"/>
      <c r="EA193" s="91"/>
      <c r="EB193" s="91"/>
      <c r="EC193" s="91"/>
      <c r="ED193" s="91"/>
      <c r="EE193" s="91"/>
      <c r="EF193" s="91"/>
      <c r="EG193" s="91"/>
      <c r="EH193" s="91"/>
      <c r="EI193" s="91"/>
      <c r="EJ193" s="91"/>
      <c r="EK193" s="91"/>
      <c r="EL193" s="91"/>
      <c r="EM193" s="91"/>
      <c r="EN193" s="91"/>
      <c r="EO193" s="91"/>
      <c r="EP193" s="91"/>
      <c r="EQ193" s="91"/>
      <c r="ER193" s="91"/>
      <c r="ES193" s="91"/>
      <c r="ET193" s="91"/>
      <c r="EU193" s="91"/>
      <c r="EV193" s="91"/>
      <c r="EW193" s="91"/>
      <c r="EX193" s="91"/>
      <c r="EY193" s="91"/>
      <c r="EZ193" s="91"/>
      <c r="FA193" s="91"/>
      <c r="FB193" s="91"/>
      <c r="FC193" s="91"/>
      <c r="FD193" s="91"/>
      <c r="FE193" s="91"/>
      <c r="FF193" s="91"/>
      <c r="FG193" s="91"/>
      <c r="FH193" s="91"/>
      <c r="FI193" s="91"/>
      <c r="FJ193" s="91"/>
      <c r="FK193" s="91"/>
      <c r="FL193" s="91"/>
      <c r="FM193" s="91"/>
      <c r="FN193" s="91"/>
      <c r="FO193" s="91"/>
      <c r="FP193" s="91"/>
      <c r="FQ193" s="91"/>
      <c r="FR193" s="91"/>
      <c r="FS193" s="91"/>
      <c r="FT193" s="91"/>
      <c r="FU193" s="91"/>
      <c r="FV193" s="91"/>
    </row>
    <row r="194" spans="3:178" s="1" customFormat="1" ht="15.75">
      <c r="C194" s="432" t="s">
        <v>658</v>
      </c>
      <c r="E194" s="432" t="s">
        <v>659</v>
      </c>
      <c r="F194" s="11"/>
      <c r="G194" s="432" t="s">
        <v>660</v>
      </c>
      <c r="H194" s="5"/>
      <c r="I194" s="5"/>
      <c r="J194" s="5"/>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91"/>
      <c r="CI194" s="91"/>
      <c r="CJ194" s="91"/>
      <c r="CK194" s="91"/>
      <c r="CL194" s="91"/>
      <c r="CM194" s="91"/>
      <c r="CN194" s="91"/>
      <c r="CO194" s="91"/>
      <c r="CP194" s="91"/>
      <c r="CQ194" s="91"/>
      <c r="CR194" s="91"/>
      <c r="CS194" s="91"/>
      <c r="CT194" s="91"/>
      <c r="CU194" s="91"/>
      <c r="CV194" s="91"/>
      <c r="CW194" s="91"/>
      <c r="CX194" s="91"/>
      <c r="CY194" s="91"/>
      <c r="CZ194" s="91"/>
      <c r="DA194" s="91"/>
      <c r="DB194" s="91"/>
      <c r="DC194" s="91"/>
      <c r="DD194" s="91"/>
      <c r="DE194" s="91"/>
      <c r="DF194" s="91"/>
      <c r="DG194" s="91"/>
      <c r="DH194" s="91"/>
      <c r="DI194" s="91"/>
      <c r="DJ194" s="91"/>
      <c r="DK194" s="91"/>
      <c r="DL194" s="91"/>
      <c r="DM194" s="91"/>
      <c r="DN194" s="91"/>
      <c r="DO194" s="91"/>
      <c r="DP194" s="91"/>
      <c r="DQ194" s="91"/>
      <c r="DR194" s="91"/>
      <c r="DS194" s="91"/>
      <c r="DT194" s="91"/>
      <c r="DU194" s="91"/>
      <c r="DV194" s="91"/>
      <c r="DW194" s="91"/>
      <c r="DX194" s="91"/>
      <c r="DY194" s="91"/>
      <c r="DZ194" s="91"/>
      <c r="EA194" s="91"/>
      <c r="EB194" s="91"/>
      <c r="EC194" s="91"/>
      <c r="ED194" s="91"/>
      <c r="EE194" s="91"/>
      <c r="EF194" s="91"/>
      <c r="EG194" s="91"/>
      <c r="EH194" s="91"/>
      <c r="EI194" s="91"/>
      <c r="EJ194" s="91"/>
      <c r="EK194" s="91"/>
      <c r="EL194" s="91"/>
      <c r="EM194" s="91"/>
      <c r="EN194" s="91"/>
      <c r="EO194" s="91"/>
      <c r="EP194" s="91"/>
      <c r="EQ194" s="91"/>
      <c r="ER194" s="91"/>
      <c r="ES194" s="91"/>
      <c r="ET194" s="91"/>
      <c r="EU194" s="91"/>
      <c r="EV194" s="91"/>
      <c r="EW194" s="91"/>
      <c r="EX194" s="91"/>
      <c r="EY194" s="91"/>
      <c r="EZ194" s="91"/>
      <c r="FA194" s="91"/>
      <c r="FB194" s="91"/>
      <c r="FC194" s="91"/>
      <c r="FD194" s="91"/>
      <c r="FE194" s="91"/>
      <c r="FF194" s="91"/>
      <c r="FG194" s="91"/>
      <c r="FH194" s="91"/>
      <c r="FI194" s="91"/>
      <c r="FJ194" s="91"/>
      <c r="FK194" s="91"/>
      <c r="FL194" s="91"/>
      <c r="FM194" s="91"/>
      <c r="FN194" s="91"/>
      <c r="FO194" s="91"/>
      <c r="FP194" s="91"/>
      <c r="FQ194" s="91"/>
      <c r="FR194" s="91"/>
      <c r="FS194" s="91"/>
      <c r="FT194" s="91"/>
      <c r="FU194" s="91"/>
      <c r="FV194" s="91"/>
    </row>
    <row r="195" spans="2:178" s="1" customFormat="1" ht="18.75" customHeight="1">
      <c r="B195" s="358"/>
      <c r="C195" s="5"/>
      <c r="D195" s="5"/>
      <c r="E195" s="5"/>
      <c r="F195" s="5"/>
      <c r="G195" s="5"/>
      <c r="H195" s="5"/>
      <c r="I195" s="5"/>
      <c r="J195" s="5"/>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91"/>
      <c r="CI195" s="91"/>
      <c r="CJ195" s="91"/>
      <c r="CK195" s="91"/>
      <c r="CL195" s="91"/>
      <c r="CM195" s="91"/>
      <c r="CN195" s="91"/>
      <c r="CO195" s="91"/>
      <c r="CP195" s="91"/>
      <c r="CQ195" s="91"/>
      <c r="CR195" s="91"/>
      <c r="CS195" s="91"/>
      <c r="CT195" s="91"/>
      <c r="CU195" s="91"/>
      <c r="CV195" s="91"/>
      <c r="CW195" s="91"/>
      <c r="CX195" s="91"/>
      <c r="CY195" s="91"/>
      <c r="CZ195" s="91"/>
      <c r="DA195" s="91"/>
      <c r="DB195" s="91"/>
      <c r="DC195" s="91"/>
      <c r="DD195" s="91"/>
      <c r="DE195" s="91"/>
      <c r="DF195" s="91"/>
      <c r="DG195" s="91"/>
      <c r="DH195" s="91"/>
      <c r="DI195" s="91"/>
      <c r="DJ195" s="91"/>
      <c r="DK195" s="91"/>
      <c r="DL195" s="91"/>
      <c r="DM195" s="91"/>
      <c r="DN195" s="91"/>
      <c r="DO195" s="91"/>
      <c r="DP195" s="91"/>
      <c r="DQ195" s="91"/>
      <c r="DR195" s="91"/>
      <c r="DS195" s="91"/>
      <c r="DT195" s="91"/>
      <c r="DU195" s="91"/>
      <c r="DV195" s="91"/>
      <c r="DW195" s="91"/>
      <c r="DX195" s="91"/>
      <c r="DY195" s="91"/>
      <c r="DZ195" s="91"/>
      <c r="EA195" s="91"/>
      <c r="EB195" s="91"/>
      <c r="EC195" s="91"/>
      <c r="ED195" s="91"/>
      <c r="EE195" s="91"/>
      <c r="EF195" s="91"/>
      <c r="EG195" s="91"/>
      <c r="EH195" s="91"/>
      <c r="EI195" s="91"/>
      <c r="EJ195" s="91"/>
      <c r="EK195" s="91"/>
      <c r="EL195" s="91"/>
      <c r="EM195" s="91"/>
      <c r="EN195" s="91"/>
      <c r="EO195" s="91"/>
      <c r="EP195" s="91"/>
      <c r="EQ195" s="91"/>
      <c r="ER195" s="91"/>
      <c r="ES195" s="91"/>
      <c r="ET195" s="91"/>
      <c r="EU195" s="91"/>
      <c r="EV195" s="91"/>
      <c r="EW195" s="91"/>
      <c r="EX195" s="91"/>
      <c r="EY195" s="91"/>
      <c r="EZ195" s="91"/>
      <c r="FA195" s="91"/>
      <c r="FB195" s="91"/>
      <c r="FC195" s="91"/>
      <c r="FD195" s="91"/>
      <c r="FE195" s="91"/>
      <c r="FF195" s="91"/>
      <c r="FG195" s="91"/>
      <c r="FH195" s="91"/>
      <c r="FI195" s="91"/>
      <c r="FJ195" s="91"/>
      <c r="FK195" s="91"/>
      <c r="FL195" s="91"/>
      <c r="FM195" s="91"/>
      <c r="FN195" s="91"/>
      <c r="FO195" s="91"/>
      <c r="FP195" s="91"/>
      <c r="FQ195" s="91"/>
      <c r="FR195" s="91"/>
      <c r="FS195" s="91"/>
      <c r="FT195" s="91"/>
      <c r="FU195" s="91"/>
      <c r="FV195" s="91"/>
    </row>
    <row r="196" spans="2:178" s="2" customFormat="1" ht="15.75">
      <c r="B196" s="359"/>
      <c r="C196" s="5"/>
      <c r="D196" s="5"/>
      <c r="E196" s="5"/>
      <c r="F196" s="5"/>
      <c r="G196" s="5"/>
      <c r="H196" s="5"/>
      <c r="I196" s="5"/>
      <c r="J196" s="5"/>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row>
    <row r="197" spans="2:178" s="1" customFormat="1" ht="15.75">
      <c r="B197" s="358"/>
      <c r="C197" s="5"/>
      <c r="D197" s="5"/>
      <c r="E197" s="5"/>
      <c r="F197" s="5"/>
      <c r="G197" s="5"/>
      <c r="H197" s="5"/>
      <c r="I197" s="5"/>
      <c r="J197" s="5"/>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91"/>
      <c r="CI197" s="91"/>
      <c r="CJ197" s="91"/>
      <c r="CK197" s="91"/>
      <c r="CL197" s="91"/>
      <c r="CM197" s="91"/>
      <c r="CN197" s="91"/>
      <c r="CO197" s="91"/>
      <c r="CP197" s="91"/>
      <c r="CQ197" s="91"/>
      <c r="CR197" s="91"/>
      <c r="CS197" s="91"/>
      <c r="CT197" s="91"/>
      <c r="CU197" s="91"/>
      <c r="CV197" s="91"/>
      <c r="CW197" s="91"/>
      <c r="CX197" s="91"/>
      <c r="CY197" s="91"/>
      <c r="CZ197" s="91"/>
      <c r="DA197" s="91"/>
      <c r="DB197" s="91"/>
      <c r="DC197" s="91"/>
      <c r="DD197" s="91"/>
      <c r="DE197" s="91"/>
      <c r="DF197" s="91"/>
      <c r="DG197" s="91"/>
      <c r="DH197" s="91"/>
      <c r="DI197" s="91"/>
      <c r="DJ197" s="91"/>
      <c r="DK197" s="91"/>
      <c r="DL197" s="91"/>
      <c r="DM197" s="91"/>
      <c r="DN197" s="91"/>
      <c r="DO197" s="91"/>
      <c r="DP197" s="91"/>
      <c r="DQ197" s="91"/>
      <c r="DR197" s="91"/>
      <c r="DS197" s="91"/>
      <c r="DT197" s="91"/>
      <c r="DU197" s="91"/>
      <c r="DV197" s="91"/>
      <c r="DW197" s="91"/>
      <c r="DX197" s="91"/>
      <c r="DY197" s="91"/>
      <c r="DZ197" s="91"/>
      <c r="EA197" s="91"/>
      <c r="EB197" s="91"/>
      <c r="EC197" s="91"/>
      <c r="ED197" s="91"/>
      <c r="EE197" s="91"/>
      <c r="EF197" s="91"/>
      <c r="EG197" s="91"/>
      <c r="EH197" s="91"/>
      <c r="EI197" s="91"/>
      <c r="EJ197" s="91"/>
      <c r="EK197" s="91"/>
      <c r="EL197" s="91"/>
      <c r="EM197" s="91"/>
      <c r="EN197" s="91"/>
      <c r="EO197" s="91"/>
      <c r="EP197" s="91"/>
      <c r="EQ197" s="91"/>
      <c r="ER197" s="91"/>
      <c r="ES197" s="91"/>
      <c r="ET197" s="91"/>
      <c r="EU197" s="91"/>
      <c r="EV197" s="91"/>
      <c r="EW197" s="91"/>
      <c r="EX197" s="91"/>
      <c r="EY197" s="91"/>
      <c r="EZ197" s="91"/>
      <c r="FA197" s="91"/>
      <c r="FB197" s="91"/>
      <c r="FC197" s="91"/>
      <c r="FD197" s="91"/>
      <c r="FE197" s="91"/>
      <c r="FF197" s="91"/>
      <c r="FG197" s="91"/>
      <c r="FH197" s="91"/>
      <c r="FI197" s="91"/>
      <c r="FJ197" s="91"/>
      <c r="FK197" s="91"/>
      <c r="FL197" s="91"/>
      <c r="FM197" s="91"/>
      <c r="FN197" s="91"/>
      <c r="FO197" s="91"/>
      <c r="FP197" s="91"/>
      <c r="FQ197" s="91"/>
      <c r="FR197" s="91"/>
      <c r="FS197" s="91"/>
      <c r="FT197" s="91"/>
      <c r="FU197" s="91"/>
      <c r="FV197" s="91"/>
    </row>
    <row r="198" spans="2:178" s="1" customFormat="1" ht="15.75">
      <c r="B198" s="358"/>
      <c r="C198" s="5"/>
      <c r="D198" s="5"/>
      <c r="E198" s="5"/>
      <c r="F198" s="5"/>
      <c r="G198" s="5"/>
      <c r="H198" s="5"/>
      <c r="I198" s="5"/>
      <c r="J198" s="5"/>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91"/>
      <c r="CI198" s="91"/>
      <c r="CJ198" s="91"/>
      <c r="CK198" s="91"/>
      <c r="CL198" s="91"/>
      <c r="CM198" s="91"/>
      <c r="CN198" s="91"/>
      <c r="CO198" s="91"/>
      <c r="CP198" s="91"/>
      <c r="CQ198" s="91"/>
      <c r="CR198" s="91"/>
      <c r="CS198" s="91"/>
      <c r="CT198" s="91"/>
      <c r="CU198" s="91"/>
      <c r="CV198" s="91"/>
      <c r="CW198" s="91"/>
      <c r="CX198" s="91"/>
      <c r="CY198" s="91"/>
      <c r="CZ198" s="91"/>
      <c r="DA198" s="91"/>
      <c r="DB198" s="91"/>
      <c r="DC198" s="91"/>
      <c r="DD198" s="91"/>
      <c r="DE198" s="91"/>
      <c r="DF198" s="91"/>
      <c r="DG198" s="91"/>
      <c r="DH198" s="91"/>
      <c r="DI198" s="91"/>
      <c r="DJ198" s="91"/>
      <c r="DK198" s="91"/>
      <c r="DL198" s="91"/>
      <c r="DM198" s="91"/>
      <c r="DN198" s="91"/>
      <c r="DO198" s="91"/>
      <c r="DP198" s="91"/>
      <c r="DQ198" s="91"/>
      <c r="DR198" s="91"/>
      <c r="DS198" s="91"/>
      <c r="DT198" s="91"/>
      <c r="DU198" s="91"/>
      <c r="DV198" s="91"/>
      <c r="DW198" s="91"/>
      <c r="DX198" s="91"/>
      <c r="DY198" s="91"/>
      <c r="DZ198" s="91"/>
      <c r="EA198" s="91"/>
      <c r="EB198" s="91"/>
      <c r="EC198" s="91"/>
      <c r="ED198" s="91"/>
      <c r="EE198" s="91"/>
      <c r="EF198" s="91"/>
      <c r="EG198" s="91"/>
      <c r="EH198" s="91"/>
      <c r="EI198" s="91"/>
      <c r="EJ198" s="91"/>
      <c r="EK198" s="91"/>
      <c r="EL198" s="91"/>
      <c r="EM198" s="91"/>
      <c r="EN198" s="91"/>
      <c r="EO198" s="91"/>
      <c r="EP198" s="91"/>
      <c r="EQ198" s="91"/>
      <c r="ER198" s="91"/>
      <c r="ES198" s="91"/>
      <c r="ET198" s="91"/>
      <c r="EU198" s="91"/>
      <c r="EV198" s="91"/>
      <c r="EW198" s="91"/>
      <c r="EX198" s="91"/>
      <c r="EY198" s="91"/>
      <c r="EZ198" s="91"/>
      <c r="FA198" s="91"/>
      <c r="FB198" s="91"/>
      <c r="FC198" s="91"/>
      <c r="FD198" s="91"/>
      <c r="FE198" s="91"/>
      <c r="FF198" s="91"/>
      <c r="FG198" s="91"/>
      <c r="FH198" s="91"/>
      <c r="FI198" s="91"/>
      <c r="FJ198" s="91"/>
      <c r="FK198" s="91"/>
      <c r="FL198" s="91"/>
      <c r="FM198" s="91"/>
      <c r="FN198" s="91"/>
      <c r="FO198" s="91"/>
      <c r="FP198" s="91"/>
      <c r="FQ198" s="91"/>
      <c r="FR198" s="91"/>
      <c r="FS198" s="91"/>
      <c r="FT198" s="91"/>
      <c r="FU198" s="91"/>
      <c r="FV198" s="91"/>
    </row>
    <row r="199" spans="2:178" s="1" customFormat="1" ht="15.75">
      <c r="B199" s="358"/>
      <c r="C199" s="5"/>
      <c r="D199" s="5"/>
      <c r="E199" s="5"/>
      <c r="F199" s="5"/>
      <c r="G199" s="5"/>
      <c r="H199" s="5"/>
      <c r="I199" s="5"/>
      <c r="J199" s="5"/>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91"/>
      <c r="CI199" s="91"/>
      <c r="CJ199" s="91"/>
      <c r="CK199" s="91"/>
      <c r="CL199" s="91"/>
      <c r="CM199" s="91"/>
      <c r="CN199" s="91"/>
      <c r="CO199" s="91"/>
      <c r="CP199" s="91"/>
      <c r="CQ199" s="91"/>
      <c r="CR199" s="91"/>
      <c r="CS199" s="91"/>
      <c r="CT199" s="91"/>
      <c r="CU199" s="91"/>
      <c r="CV199" s="91"/>
      <c r="CW199" s="91"/>
      <c r="CX199" s="91"/>
      <c r="CY199" s="91"/>
      <c r="CZ199" s="91"/>
      <c r="DA199" s="91"/>
      <c r="DB199" s="91"/>
      <c r="DC199" s="91"/>
      <c r="DD199" s="91"/>
      <c r="DE199" s="91"/>
      <c r="DF199" s="91"/>
      <c r="DG199" s="91"/>
      <c r="DH199" s="91"/>
      <c r="DI199" s="91"/>
      <c r="DJ199" s="91"/>
      <c r="DK199" s="91"/>
      <c r="DL199" s="91"/>
      <c r="DM199" s="91"/>
      <c r="DN199" s="91"/>
      <c r="DO199" s="91"/>
      <c r="DP199" s="91"/>
      <c r="DQ199" s="91"/>
      <c r="DR199" s="91"/>
      <c r="DS199" s="91"/>
      <c r="DT199" s="91"/>
      <c r="DU199" s="91"/>
      <c r="DV199" s="91"/>
      <c r="DW199" s="91"/>
      <c r="DX199" s="91"/>
      <c r="DY199" s="91"/>
      <c r="DZ199" s="91"/>
      <c r="EA199" s="91"/>
      <c r="EB199" s="91"/>
      <c r="EC199" s="91"/>
      <c r="ED199" s="91"/>
      <c r="EE199" s="91"/>
      <c r="EF199" s="91"/>
      <c r="EG199" s="91"/>
      <c r="EH199" s="91"/>
      <c r="EI199" s="91"/>
      <c r="EJ199" s="91"/>
      <c r="EK199" s="91"/>
      <c r="EL199" s="91"/>
      <c r="EM199" s="91"/>
      <c r="EN199" s="91"/>
      <c r="EO199" s="91"/>
      <c r="EP199" s="91"/>
      <c r="EQ199" s="91"/>
      <c r="ER199" s="91"/>
      <c r="ES199" s="91"/>
      <c r="ET199" s="91"/>
      <c r="EU199" s="91"/>
      <c r="EV199" s="91"/>
      <c r="EW199" s="91"/>
      <c r="EX199" s="91"/>
      <c r="EY199" s="91"/>
      <c r="EZ199" s="91"/>
      <c r="FA199" s="91"/>
      <c r="FB199" s="91"/>
      <c r="FC199" s="91"/>
      <c r="FD199" s="91"/>
      <c r="FE199" s="91"/>
      <c r="FF199" s="91"/>
      <c r="FG199" s="91"/>
      <c r="FH199" s="91"/>
      <c r="FI199" s="91"/>
      <c r="FJ199" s="91"/>
      <c r="FK199" s="91"/>
      <c r="FL199" s="91"/>
      <c r="FM199" s="91"/>
      <c r="FN199" s="91"/>
      <c r="FO199" s="91"/>
      <c r="FP199" s="91"/>
      <c r="FQ199" s="91"/>
      <c r="FR199" s="91"/>
      <c r="FS199" s="91"/>
      <c r="FT199" s="91"/>
      <c r="FU199" s="91"/>
      <c r="FV199" s="91"/>
    </row>
    <row r="200" spans="2:178" s="1" customFormat="1" ht="15.75">
      <c r="B200" s="358"/>
      <c r="C200" s="5"/>
      <c r="D200" s="5"/>
      <c r="E200" s="5"/>
      <c r="F200" s="5"/>
      <c r="G200" s="5"/>
      <c r="H200" s="5"/>
      <c r="I200" s="5"/>
      <c r="J200" s="5"/>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91"/>
      <c r="CI200" s="91"/>
      <c r="CJ200" s="91"/>
      <c r="CK200" s="91"/>
      <c r="CL200" s="91"/>
      <c r="CM200" s="91"/>
      <c r="CN200" s="91"/>
      <c r="CO200" s="91"/>
      <c r="CP200" s="91"/>
      <c r="CQ200" s="91"/>
      <c r="CR200" s="91"/>
      <c r="CS200" s="91"/>
      <c r="CT200" s="91"/>
      <c r="CU200" s="91"/>
      <c r="CV200" s="91"/>
      <c r="CW200" s="91"/>
      <c r="CX200" s="91"/>
      <c r="CY200" s="91"/>
      <c r="CZ200" s="91"/>
      <c r="DA200" s="91"/>
      <c r="DB200" s="91"/>
      <c r="DC200" s="91"/>
      <c r="DD200" s="91"/>
      <c r="DE200" s="91"/>
      <c r="DF200" s="91"/>
      <c r="DG200" s="91"/>
      <c r="DH200" s="91"/>
      <c r="DI200" s="91"/>
      <c r="DJ200" s="91"/>
      <c r="DK200" s="91"/>
      <c r="DL200" s="91"/>
      <c r="DM200" s="91"/>
      <c r="DN200" s="91"/>
      <c r="DO200" s="91"/>
      <c r="DP200" s="91"/>
      <c r="DQ200" s="91"/>
      <c r="DR200" s="91"/>
      <c r="DS200" s="91"/>
      <c r="DT200" s="91"/>
      <c r="DU200" s="91"/>
      <c r="DV200" s="91"/>
      <c r="DW200" s="91"/>
      <c r="DX200" s="91"/>
      <c r="DY200" s="91"/>
      <c r="DZ200" s="91"/>
      <c r="EA200" s="91"/>
      <c r="EB200" s="91"/>
      <c r="EC200" s="91"/>
      <c r="ED200" s="91"/>
      <c r="EE200" s="91"/>
      <c r="EF200" s="91"/>
      <c r="EG200" s="91"/>
      <c r="EH200" s="91"/>
      <c r="EI200" s="91"/>
      <c r="EJ200" s="91"/>
      <c r="EK200" s="91"/>
      <c r="EL200" s="91"/>
      <c r="EM200" s="91"/>
      <c r="EN200" s="91"/>
      <c r="EO200" s="91"/>
      <c r="EP200" s="91"/>
      <c r="EQ200" s="91"/>
      <c r="ER200" s="91"/>
      <c r="ES200" s="91"/>
      <c r="ET200" s="91"/>
      <c r="EU200" s="91"/>
      <c r="EV200" s="91"/>
      <c r="EW200" s="91"/>
      <c r="EX200" s="91"/>
      <c r="EY200" s="91"/>
      <c r="EZ200" s="91"/>
      <c r="FA200" s="91"/>
      <c r="FB200" s="91"/>
      <c r="FC200" s="91"/>
      <c r="FD200" s="91"/>
      <c r="FE200" s="91"/>
      <c r="FF200" s="91"/>
      <c r="FG200" s="91"/>
      <c r="FH200" s="91"/>
      <c r="FI200" s="91"/>
      <c r="FJ200" s="91"/>
      <c r="FK200" s="91"/>
      <c r="FL200" s="91"/>
      <c r="FM200" s="91"/>
      <c r="FN200" s="91"/>
      <c r="FO200" s="91"/>
      <c r="FP200" s="91"/>
      <c r="FQ200" s="91"/>
      <c r="FR200" s="91"/>
      <c r="FS200" s="91"/>
      <c r="FT200" s="91"/>
      <c r="FU200" s="91"/>
      <c r="FV200" s="91"/>
    </row>
    <row r="201" spans="2:178" s="1" customFormat="1" ht="15.75">
      <c r="B201" s="358"/>
      <c r="C201" s="5"/>
      <c r="D201" s="5"/>
      <c r="E201" s="5"/>
      <c r="F201" s="5"/>
      <c r="G201" s="5"/>
      <c r="H201" s="5"/>
      <c r="I201" s="5"/>
      <c r="J201" s="5"/>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91"/>
      <c r="CI201" s="91"/>
      <c r="CJ201" s="91"/>
      <c r="CK201" s="91"/>
      <c r="CL201" s="91"/>
      <c r="CM201" s="91"/>
      <c r="CN201" s="91"/>
      <c r="CO201" s="91"/>
      <c r="CP201" s="91"/>
      <c r="CQ201" s="91"/>
      <c r="CR201" s="91"/>
      <c r="CS201" s="91"/>
      <c r="CT201" s="91"/>
      <c r="CU201" s="91"/>
      <c r="CV201" s="91"/>
      <c r="CW201" s="91"/>
      <c r="CX201" s="91"/>
      <c r="CY201" s="91"/>
      <c r="CZ201" s="91"/>
      <c r="DA201" s="91"/>
      <c r="DB201" s="91"/>
      <c r="DC201" s="91"/>
      <c r="DD201" s="91"/>
      <c r="DE201" s="91"/>
      <c r="DF201" s="91"/>
      <c r="DG201" s="91"/>
      <c r="DH201" s="91"/>
      <c r="DI201" s="91"/>
      <c r="DJ201" s="91"/>
      <c r="DK201" s="91"/>
      <c r="DL201" s="91"/>
      <c r="DM201" s="91"/>
      <c r="DN201" s="91"/>
      <c r="DO201" s="91"/>
      <c r="DP201" s="91"/>
      <c r="DQ201" s="91"/>
      <c r="DR201" s="91"/>
      <c r="DS201" s="91"/>
      <c r="DT201" s="91"/>
      <c r="DU201" s="91"/>
      <c r="DV201" s="91"/>
      <c r="DW201" s="91"/>
      <c r="DX201" s="91"/>
      <c r="DY201" s="91"/>
      <c r="DZ201" s="91"/>
      <c r="EA201" s="91"/>
      <c r="EB201" s="91"/>
      <c r="EC201" s="91"/>
      <c r="ED201" s="91"/>
      <c r="EE201" s="91"/>
      <c r="EF201" s="91"/>
      <c r="EG201" s="91"/>
      <c r="EH201" s="91"/>
      <c r="EI201" s="91"/>
      <c r="EJ201" s="91"/>
      <c r="EK201" s="91"/>
      <c r="EL201" s="91"/>
      <c r="EM201" s="91"/>
      <c r="EN201" s="91"/>
      <c r="EO201" s="91"/>
      <c r="EP201" s="91"/>
      <c r="EQ201" s="91"/>
      <c r="ER201" s="91"/>
      <c r="ES201" s="91"/>
      <c r="ET201" s="91"/>
      <c r="EU201" s="91"/>
      <c r="EV201" s="91"/>
      <c r="EW201" s="91"/>
      <c r="EX201" s="91"/>
      <c r="EY201" s="91"/>
      <c r="EZ201" s="91"/>
      <c r="FA201" s="91"/>
      <c r="FB201" s="91"/>
      <c r="FC201" s="91"/>
      <c r="FD201" s="91"/>
      <c r="FE201" s="91"/>
      <c r="FF201" s="91"/>
      <c r="FG201" s="91"/>
      <c r="FH201" s="91"/>
      <c r="FI201" s="91"/>
      <c r="FJ201" s="91"/>
      <c r="FK201" s="91"/>
      <c r="FL201" s="91"/>
      <c r="FM201" s="91"/>
      <c r="FN201" s="91"/>
      <c r="FO201" s="91"/>
      <c r="FP201" s="91"/>
      <c r="FQ201" s="91"/>
      <c r="FR201" s="91"/>
      <c r="FS201" s="91"/>
      <c r="FT201" s="91"/>
      <c r="FU201" s="91"/>
      <c r="FV201" s="91"/>
    </row>
    <row r="202" spans="2:178" s="3" customFormat="1" ht="15.75">
      <c r="B202" s="358"/>
      <c r="C202" s="5"/>
      <c r="D202" s="6"/>
      <c r="E202" s="6"/>
      <c r="F202" s="6"/>
      <c r="G202" s="6"/>
      <c r="H202" s="6"/>
      <c r="I202" s="6"/>
      <c r="J202" s="6"/>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c r="CY202" s="97"/>
      <c r="CZ202" s="97"/>
      <c r="DA202" s="97"/>
      <c r="DB202" s="97"/>
      <c r="DC202" s="97"/>
      <c r="DD202" s="97"/>
      <c r="DE202" s="97"/>
      <c r="DF202" s="97"/>
      <c r="DG202" s="97"/>
      <c r="DH202" s="97"/>
      <c r="DI202" s="97"/>
      <c r="DJ202" s="97"/>
      <c r="DK202" s="97"/>
      <c r="DL202" s="97"/>
      <c r="DM202" s="97"/>
      <c r="DN202" s="97"/>
      <c r="DO202" s="97"/>
      <c r="DP202" s="97"/>
      <c r="DQ202" s="97"/>
      <c r="DR202" s="97"/>
      <c r="DS202" s="97"/>
      <c r="DT202" s="97"/>
      <c r="DU202" s="97"/>
      <c r="DV202" s="97"/>
      <c r="DW202" s="97"/>
      <c r="DX202" s="97"/>
      <c r="DY202" s="97"/>
      <c r="DZ202" s="97"/>
      <c r="EA202" s="97"/>
      <c r="EB202" s="97"/>
      <c r="EC202" s="97"/>
      <c r="ED202" s="97"/>
      <c r="EE202" s="97"/>
      <c r="EF202" s="97"/>
      <c r="EG202" s="97"/>
      <c r="EH202" s="97"/>
      <c r="EI202" s="97"/>
      <c r="EJ202" s="97"/>
      <c r="EK202" s="97"/>
      <c r="EL202" s="97"/>
      <c r="EM202" s="97"/>
      <c r="EN202" s="97"/>
      <c r="EO202" s="97"/>
      <c r="EP202" s="97"/>
      <c r="EQ202" s="97"/>
      <c r="ER202" s="97"/>
      <c r="ES202" s="97"/>
      <c r="ET202" s="97"/>
      <c r="EU202" s="97"/>
      <c r="EV202" s="97"/>
      <c r="EW202" s="97"/>
      <c r="EX202" s="97"/>
      <c r="EY202" s="97"/>
      <c r="EZ202" s="97"/>
      <c r="FA202" s="97"/>
      <c r="FB202" s="97"/>
      <c r="FC202" s="97"/>
      <c r="FD202" s="97"/>
      <c r="FE202" s="97"/>
      <c r="FF202" s="97"/>
      <c r="FG202" s="97"/>
      <c r="FH202" s="97"/>
      <c r="FI202" s="97"/>
      <c r="FJ202" s="97"/>
      <c r="FK202" s="97"/>
      <c r="FL202" s="97"/>
      <c r="FM202" s="97"/>
      <c r="FN202" s="97"/>
      <c r="FO202" s="97"/>
      <c r="FP202" s="97"/>
      <c r="FQ202" s="97"/>
      <c r="FR202" s="97"/>
      <c r="FS202" s="97"/>
      <c r="FT202" s="97"/>
      <c r="FU202" s="97"/>
      <c r="FV202" s="97"/>
    </row>
    <row r="203" spans="2:178" s="1" customFormat="1" ht="15.75">
      <c r="B203" s="358"/>
      <c r="C203" s="2"/>
      <c r="D203" s="2"/>
      <c r="E203" s="2"/>
      <c r="F203" s="2"/>
      <c r="G203" s="2"/>
      <c r="H203" s="2"/>
      <c r="I203" s="2"/>
      <c r="J203" s="2"/>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91"/>
      <c r="CI203" s="91"/>
      <c r="CJ203" s="91"/>
      <c r="CK203" s="91"/>
      <c r="CL203" s="91"/>
      <c r="CM203" s="91"/>
      <c r="CN203" s="91"/>
      <c r="CO203" s="91"/>
      <c r="CP203" s="91"/>
      <c r="CQ203" s="91"/>
      <c r="CR203" s="91"/>
      <c r="CS203" s="91"/>
      <c r="CT203" s="91"/>
      <c r="CU203" s="91"/>
      <c r="CV203" s="91"/>
      <c r="CW203" s="91"/>
      <c r="CX203" s="91"/>
      <c r="CY203" s="91"/>
      <c r="CZ203" s="91"/>
      <c r="DA203" s="91"/>
      <c r="DB203" s="91"/>
      <c r="DC203" s="91"/>
      <c r="DD203" s="91"/>
      <c r="DE203" s="91"/>
      <c r="DF203" s="91"/>
      <c r="DG203" s="91"/>
      <c r="DH203" s="91"/>
      <c r="DI203" s="91"/>
      <c r="DJ203" s="91"/>
      <c r="DK203" s="91"/>
      <c r="DL203" s="91"/>
      <c r="DM203" s="91"/>
      <c r="DN203" s="91"/>
      <c r="DO203" s="91"/>
      <c r="DP203" s="91"/>
      <c r="DQ203" s="91"/>
      <c r="DR203" s="91"/>
      <c r="DS203" s="91"/>
      <c r="DT203" s="91"/>
      <c r="DU203" s="91"/>
      <c r="DV203" s="91"/>
      <c r="DW203" s="91"/>
      <c r="DX203" s="91"/>
      <c r="DY203" s="91"/>
      <c r="DZ203" s="91"/>
      <c r="EA203" s="91"/>
      <c r="EB203" s="91"/>
      <c r="EC203" s="91"/>
      <c r="ED203" s="91"/>
      <c r="EE203" s="91"/>
      <c r="EF203" s="91"/>
      <c r="EG203" s="91"/>
      <c r="EH203" s="91"/>
      <c r="EI203" s="91"/>
      <c r="EJ203" s="91"/>
      <c r="EK203" s="91"/>
      <c r="EL203" s="91"/>
      <c r="EM203" s="91"/>
      <c r="EN203" s="91"/>
      <c r="EO203" s="91"/>
      <c r="EP203" s="91"/>
      <c r="EQ203" s="91"/>
      <c r="ER203" s="91"/>
      <c r="ES203" s="91"/>
      <c r="ET203" s="91"/>
      <c r="EU203" s="91"/>
      <c r="EV203" s="91"/>
      <c r="EW203" s="91"/>
      <c r="EX203" s="91"/>
      <c r="EY203" s="91"/>
      <c r="EZ203" s="91"/>
      <c r="FA203" s="91"/>
      <c r="FB203" s="91"/>
      <c r="FC203" s="91"/>
      <c r="FD203" s="91"/>
      <c r="FE203" s="91"/>
      <c r="FF203" s="91"/>
      <c r="FG203" s="91"/>
      <c r="FH203" s="91"/>
      <c r="FI203" s="91"/>
      <c r="FJ203" s="91"/>
      <c r="FK203" s="91"/>
      <c r="FL203" s="91"/>
      <c r="FM203" s="91"/>
      <c r="FN203" s="91"/>
      <c r="FO203" s="91"/>
      <c r="FP203" s="91"/>
      <c r="FQ203" s="91"/>
      <c r="FR203" s="91"/>
      <c r="FS203" s="91"/>
      <c r="FT203" s="91"/>
      <c r="FU203" s="91"/>
      <c r="FV203" s="91"/>
    </row>
    <row r="204" spans="2:178" s="1" customFormat="1" ht="15.75">
      <c r="B204" s="358"/>
      <c r="C204" s="2"/>
      <c r="D204" s="2"/>
      <c r="E204" s="2"/>
      <c r="F204" s="2"/>
      <c r="G204" s="2"/>
      <c r="H204" s="2"/>
      <c r="I204" s="2"/>
      <c r="J204" s="2"/>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91"/>
      <c r="CI204" s="91"/>
      <c r="CJ204" s="91"/>
      <c r="CK204" s="91"/>
      <c r="CL204" s="91"/>
      <c r="CM204" s="91"/>
      <c r="CN204" s="91"/>
      <c r="CO204" s="91"/>
      <c r="CP204" s="91"/>
      <c r="CQ204" s="91"/>
      <c r="CR204" s="91"/>
      <c r="CS204" s="91"/>
      <c r="CT204" s="91"/>
      <c r="CU204" s="91"/>
      <c r="CV204" s="91"/>
      <c r="CW204" s="91"/>
      <c r="CX204" s="91"/>
      <c r="CY204" s="91"/>
      <c r="CZ204" s="91"/>
      <c r="DA204" s="91"/>
      <c r="DB204" s="91"/>
      <c r="DC204" s="91"/>
      <c r="DD204" s="91"/>
      <c r="DE204" s="91"/>
      <c r="DF204" s="91"/>
      <c r="DG204" s="91"/>
      <c r="DH204" s="91"/>
      <c r="DI204" s="91"/>
      <c r="DJ204" s="91"/>
      <c r="DK204" s="91"/>
      <c r="DL204" s="91"/>
      <c r="DM204" s="91"/>
      <c r="DN204" s="91"/>
      <c r="DO204" s="91"/>
      <c r="DP204" s="91"/>
      <c r="DQ204" s="91"/>
      <c r="DR204" s="91"/>
      <c r="DS204" s="91"/>
      <c r="DT204" s="91"/>
      <c r="DU204" s="91"/>
      <c r="DV204" s="91"/>
      <c r="DW204" s="91"/>
      <c r="DX204" s="91"/>
      <c r="DY204" s="91"/>
      <c r="DZ204" s="91"/>
      <c r="EA204" s="91"/>
      <c r="EB204" s="91"/>
      <c r="EC204" s="91"/>
      <c r="ED204" s="91"/>
      <c r="EE204" s="91"/>
      <c r="EF204" s="91"/>
      <c r="EG204" s="91"/>
      <c r="EH204" s="91"/>
      <c r="EI204" s="91"/>
      <c r="EJ204" s="91"/>
      <c r="EK204" s="91"/>
      <c r="EL204" s="91"/>
      <c r="EM204" s="91"/>
      <c r="EN204" s="91"/>
      <c r="EO204" s="91"/>
      <c r="EP204" s="91"/>
      <c r="EQ204" s="91"/>
      <c r="ER204" s="91"/>
      <c r="ES204" s="91"/>
      <c r="ET204" s="91"/>
      <c r="EU204" s="91"/>
      <c r="EV204" s="91"/>
      <c r="EW204" s="91"/>
      <c r="EX204" s="91"/>
      <c r="EY204" s="91"/>
      <c r="EZ204" s="91"/>
      <c r="FA204" s="91"/>
      <c r="FB204" s="91"/>
      <c r="FC204" s="91"/>
      <c r="FD204" s="91"/>
      <c r="FE204" s="91"/>
      <c r="FF204" s="91"/>
      <c r="FG204" s="91"/>
      <c r="FH204" s="91"/>
      <c r="FI204" s="91"/>
      <c r="FJ204" s="91"/>
      <c r="FK204" s="91"/>
      <c r="FL204" s="91"/>
      <c r="FM204" s="91"/>
      <c r="FN204" s="91"/>
      <c r="FO204" s="91"/>
      <c r="FP204" s="91"/>
      <c r="FQ204" s="91"/>
      <c r="FR204" s="91"/>
      <c r="FS204" s="91"/>
      <c r="FT204" s="91"/>
      <c r="FU204" s="91"/>
      <c r="FV204" s="91"/>
    </row>
    <row r="205" spans="2:178" s="1" customFormat="1" ht="15.75">
      <c r="B205" s="358"/>
      <c r="C205" s="2"/>
      <c r="D205" s="2"/>
      <c r="E205" s="2"/>
      <c r="F205" s="2"/>
      <c r="G205" s="2"/>
      <c r="H205" s="2"/>
      <c r="I205" s="2"/>
      <c r="J205" s="2"/>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91"/>
      <c r="CI205" s="91"/>
      <c r="CJ205" s="91"/>
      <c r="CK205" s="91"/>
      <c r="CL205" s="91"/>
      <c r="CM205" s="91"/>
      <c r="CN205" s="91"/>
      <c r="CO205" s="91"/>
      <c r="CP205" s="91"/>
      <c r="CQ205" s="91"/>
      <c r="CR205" s="91"/>
      <c r="CS205" s="91"/>
      <c r="CT205" s="91"/>
      <c r="CU205" s="91"/>
      <c r="CV205" s="91"/>
      <c r="CW205" s="91"/>
      <c r="CX205" s="91"/>
      <c r="CY205" s="91"/>
      <c r="CZ205" s="91"/>
      <c r="DA205" s="91"/>
      <c r="DB205" s="91"/>
      <c r="DC205" s="91"/>
      <c r="DD205" s="91"/>
      <c r="DE205" s="91"/>
      <c r="DF205" s="91"/>
      <c r="DG205" s="91"/>
      <c r="DH205" s="91"/>
      <c r="DI205" s="91"/>
      <c r="DJ205" s="91"/>
      <c r="DK205" s="91"/>
      <c r="DL205" s="91"/>
      <c r="DM205" s="91"/>
      <c r="DN205" s="91"/>
      <c r="DO205" s="91"/>
      <c r="DP205" s="91"/>
      <c r="DQ205" s="91"/>
      <c r="DR205" s="91"/>
      <c r="DS205" s="91"/>
      <c r="DT205" s="91"/>
      <c r="DU205" s="91"/>
      <c r="DV205" s="91"/>
      <c r="DW205" s="91"/>
      <c r="DX205" s="91"/>
      <c r="DY205" s="91"/>
      <c r="DZ205" s="91"/>
      <c r="EA205" s="91"/>
      <c r="EB205" s="91"/>
      <c r="EC205" s="91"/>
      <c r="ED205" s="91"/>
      <c r="EE205" s="91"/>
      <c r="EF205" s="91"/>
      <c r="EG205" s="91"/>
      <c r="EH205" s="91"/>
      <c r="EI205" s="91"/>
      <c r="EJ205" s="91"/>
      <c r="EK205" s="91"/>
      <c r="EL205" s="91"/>
      <c r="EM205" s="91"/>
      <c r="EN205" s="91"/>
      <c r="EO205" s="91"/>
      <c r="EP205" s="91"/>
      <c r="EQ205" s="91"/>
      <c r="ER205" s="91"/>
      <c r="ES205" s="91"/>
      <c r="ET205" s="91"/>
      <c r="EU205" s="91"/>
      <c r="EV205" s="91"/>
      <c r="EW205" s="91"/>
      <c r="EX205" s="91"/>
      <c r="EY205" s="91"/>
      <c r="EZ205" s="91"/>
      <c r="FA205" s="91"/>
      <c r="FB205" s="91"/>
      <c r="FC205" s="91"/>
      <c r="FD205" s="91"/>
      <c r="FE205" s="91"/>
      <c r="FF205" s="91"/>
      <c r="FG205" s="91"/>
      <c r="FH205" s="91"/>
      <c r="FI205" s="91"/>
      <c r="FJ205" s="91"/>
      <c r="FK205" s="91"/>
      <c r="FL205" s="91"/>
      <c r="FM205" s="91"/>
      <c r="FN205" s="91"/>
      <c r="FO205" s="91"/>
      <c r="FP205" s="91"/>
      <c r="FQ205" s="91"/>
      <c r="FR205" s="91"/>
      <c r="FS205" s="91"/>
      <c r="FT205" s="91"/>
      <c r="FU205" s="91"/>
      <c r="FV205" s="91"/>
    </row>
    <row r="206" spans="2:178" s="1" customFormat="1" ht="15.75">
      <c r="B206" s="358"/>
      <c r="C206" s="2"/>
      <c r="D206" s="2"/>
      <c r="E206" s="2"/>
      <c r="F206" s="2"/>
      <c r="G206" s="2"/>
      <c r="H206" s="2"/>
      <c r="I206" s="2"/>
      <c r="J206" s="2"/>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91"/>
      <c r="CI206" s="91"/>
      <c r="CJ206" s="91"/>
      <c r="CK206" s="91"/>
      <c r="CL206" s="91"/>
      <c r="CM206" s="91"/>
      <c r="CN206" s="91"/>
      <c r="CO206" s="91"/>
      <c r="CP206" s="91"/>
      <c r="CQ206" s="91"/>
      <c r="CR206" s="91"/>
      <c r="CS206" s="91"/>
      <c r="CT206" s="91"/>
      <c r="CU206" s="91"/>
      <c r="CV206" s="91"/>
      <c r="CW206" s="91"/>
      <c r="CX206" s="91"/>
      <c r="CY206" s="91"/>
      <c r="CZ206" s="91"/>
      <c r="DA206" s="91"/>
      <c r="DB206" s="91"/>
      <c r="DC206" s="91"/>
      <c r="DD206" s="91"/>
      <c r="DE206" s="91"/>
      <c r="DF206" s="91"/>
      <c r="DG206" s="91"/>
      <c r="DH206" s="91"/>
      <c r="DI206" s="91"/>
      <c r="DJ206" s="91"/>
      <c r="DK206" s="91"/>
      <c r="DL206" s="91"/>
      <c r="DM206" s="91"/>
      <c r="DN206" s="91"/>
      <c r="DO206" s="91"/>
      <c r="DP206" s="91"/>
      <c r="DQ206" s="91"/>
      <c r="DR206" s="91"/>
      <c r="DS206" s="91"/>
      <c r="DT206" s="91"/>
      <c r="DU206" s="91"/>
      <c r="DV206" s="91"/>
      <c r="DW206" s="91"/>
      <c r="DX206" s="91"/>
      <c r="DY206" s="91"/>
      <c r="DZ206" s="91"/>
      <c r="EA206" s="91"/>
      <c r="EB206" s="91"/>
      <c r="EC206" s="91"/>
      <c r="ED206" s="91"/>
      <c r="EE206" s="91"/>
      <c r="EF206" s="91"/>
      <c r="EG206" s="91"/>
      <c r="EH206" s="91"/>
      <c r="EI206" s="91"/>
      <c r="EJ206" s="91"/>
      <c r="EK206" s="91"/>
      <c r="EL206" s="91"/>
      <c r="EM206" s="91"/>
      <c r="EN206" s="91"/>
      <c r="EO206" s="91"/>
      <c r="EP206" s="91"/>
      <c r="EQ206" s="91"/>
      <c r="ER206" s="91"/>
      <c r="ES206" s="91"/>
      <c r="ET206" s="91"/>
      <c r="EU206" s="91"/>
      <c r="EV206" s="91"/>
      <c r="EW206" s="91"/>
      <c r="EX206" s="91"/>
      <c r="EY206" s="91"/>
      <c r="EZ206" s="91"/>
      <c r="FA206" s="91"/>
      <c r="FB206" s="91"/>
      <c r="FC206" s="91"/>
      <c r="FD206" s="91"/>
      <c r="FE206" s="91"/>
      <c r="FF206" s="91"/>
      <c r="FG206" s="91"/>
      <c r="FH206" s="91"/>
      <c r="FI206" s="91"/>
      <c r="FJ206" s="91"/>
      <c r="FK206" s="91"/>
      <c r="FL206" s="91"/>
      <c r="FM206" s="91"/>
      <c r="FN206" s="91"/>
      <c r="FO206" s="91"/>
      <c r="FP206" s="91"/>
      <c r="FQ206" s="91"/>
      <c r="FR206" s="91"/>
      <c r="FS206" s="91"/>
      <c r="FT206" s="91"/>
      <c r="FU206" s="91"/>
      <c r="FV206" s="91"/>
    </row>
    <row r="207" spans="2:178" s="1" customFormat="1" ht="15.75">
      <c r="B207" s="358"/>
      <c r="C207" s="2"/>
      <c r="D207" s="2"/>
      <c r="E207" s="2"/>
      <c r="F207" s="2"/>
      <c r="G207" s="2"/>
      <c r="H207" s="2"/>
      <c r="I207" s="2"/>
      <c r="J207" s="2"/>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91"/>
      <c r="CI207" s="91"/>
      <c r="CJ207" s="91"/>
      <c r="CK207" s="91"/>
      <c r="CL207" s="91"/>
      <c r="CM207" s="91"/>
      <c r="CN207" s="91"/>
      <c r="CO207" s="91"/>
      <c r="CP207" s="91"/>
      <c r="CQ207" s="91"/>
      <c r="CR207" s="91"/>
      <c r="CS207" s="91"/>
      <c r="CT207" s="91"/>
      <c r="CU207" s="91"/>
      <c r="CV207" s="91"/>
      <c r="CW207" s="91"/>
      <c r="CX207" s="91"/>
      <c r="CY207" s="91"/>
      <c r="CZ207" s="91"/>
      <c r="DA207" s="91"/>
      <c r="DB207" s="91"/>
      <c r="DC207" s="91"/>
      <c r="DD207" s="91"/>
      <c r="DE207" s="91"/>
      <c r="DF207" s="91"/>
      <c r="DG207" s="91"/>
      <c r="DH207" s="91"/>
      <c r="DI207" s="91"/>
      <c r="DJ207" s="91"/>
      <c r="DK207" s="91"/>
      <c r="DL207" s="91"/>
      <c r="DM207" s="91"/>
      <c r="DN207" s="91"/>
      <c r="DO207" s="91"/>
      <c r="DP207" s="91"/>
      <c r="DQ207" s="91"/>
      <c r="DR207" s="91"/>
      <c r="DS207" s="91"/>
      <c r="DT207" s="91"/>
      <c r="DU207" s="91"/>
      <c r="DV207" s="91"/>
      <c r="DW207" s="91"/>
      <c r="DX207" s="91"/>
      <c r="DY207" s="91"/>
      <c r="DZ207" s="91"/>
      <c r="EA207" s="91"/>
      <c r="EB207" s="91"/>
      <c r="EC207" s="91"/>
      <c r="ED207" s="91"/>
      <c r="EE207" s="91"/>
      <c r="EF207" s="91"/>
      <c r="EG207" s="91"/>
      <c r="EH207" s="91"/>
      <c r="EI207" s="91"/>
      <c r="EJ207" s="91"/>
      <c r="EK207" s="91"/>
      <c r="EL207" s="91"/>
      <c r="EM207" s="91"/>
      <c r="EN207" s="91"/>
      <c r="EO207" s="91"/>
      <c r="EP207" s="91"/>
      <c r="EQ207" s="91"/>
      <c r="ER207" s="91"/>
      <c r="ES207" s="91"/>
      <c r="ET207" s="91"/>
      <c r="EU207" s="91"/>
      <c r="EV207" s="91"/>
      <c r="EW207" s="91"/>
      <c r="EX207" s="91"/>
      <c r="EY207" s="91"/>
      <c r="EZ207" s="91"/>
      <c r="FA207" s="91"/>
      <c r="FB207" s="91"/>
      <c r="FC207" s="91"/>
      <c r="FD207" s="91"/>
      <c r="FE207" s="91"/>
      <c r="FF207" s="91"/>
      <c r="FG207" s="91"/>
      <c r="FH207" s="91"/>
      <c r="FI207" s="91"/>
      <c r="FJ207" s="91"/>
      <c r="FK207" s="91"/>
      <c r="FL207" s="91"/>
      <c r="FM207" s="91"/>
      <c r="FN207" s="91"/>
      <c r="FO207" s="91"/>
      <c r="FP207" s="91"/>
      <c r="FQ207" s="91"/>
      <c r="FR207" s="91"/>
      <c r="FS207" s="91"/>
      <c r="FT207" s="91"/>
      <c r="FU207" s="91"/>
      <c r="FV207" s="91"/>
    </row>
    <row r="208" spans="2:178" s="1" customFormat="1" ht="15.75">
      <c r="B208" s="358"/>
      <c r="C208" s="2"/>
      <c r="D208" s="2"/>
      <c r="E208" s="2"/>
      <c r="F208" s="2"/>
      <c r="G208" s="2"/>
      <c r="H208" s="2"/>
      <c r="I208" s="2"/>
      <c r="J208" s="2"/>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91"/>
      <c r="CI208" s="91"/>
      <c r="CJ208" s="91"/>
      <c r="CK208" s="91"/>
      <c r="CL208" s="91"/>
      <c r="CM208" s="91"/>
      <c r="CN208" s="91"/>
      <c r="CO208" s="91"/>
      <c r="CP208" s="91"/>
      <c r="CQ208" s="91"/>
      <c r="CR208" s="91"/>
      <c r="CS208" s="91"/>
      <c r="CT208" s="91"/>
      <c r="CU208" s="91"/>
      <c r="CV208" s="91"/>
      <c r="CW208" s="91"/>
      <c r="CX208" s="91"/>
      <c r="CY208" s="91"/>
      <c r="CZ208" s="91"/>
      <c r="DA208" s="91"/>
      <c r="DB208" s="91"/>
      <c r="DC208" s="91"/>
      <c r="DD208" s="91"/>
      <c r="DE208" s="91"/>
      <c r="DF208" s="91"/>
      <c r="DG208" s="91"/>
      <c r="DH208" s="91"/>
      <c r="DI208" s="91"/>
      <c r="DJ208" s="91"/>
      <c r="DK208" s="91"/>
      <c r="DL208" s="91"/>
      <c r="DM208" s="91"/>
      <c r="DN208" s="91"/>
      <c r="DO208" s="91"/>
      <c r="DP208" s="91"/>
      <c r="DQ208" s="91"/>
      <c r="DR208" s="91"/>
      <c r="DS208" s="91"/>
      <c r="DT208" s="91"/>
      <c r="DU208" s="91"/>
      <c r="DV208" s="91"/>
      <c r="DW208" s="91"/>
      <c r="DX208" s="91"/>
      <c r="DY208" s="91"/>
      <c r="DZ208" s="91"/>
      <c r="EA208" s="91"/>
      <c r="EB208" s="91"/>
      <c r="EC208" s="91"/>
      <c r="ED208" s="91"/>
      <c r="EE208" s="91"/>
      <c r="EF208" s="91"/>
      <c r="EG208" s="91"/>
      <c r="EH208" s="91"/>
      <c r="EI208" s="91"/>
      <c r="EJ208" s="91"/>
      <c r="EK208" s="91"/>
      <c r="EL208" s="91"/>
      <c r="EM208" s="91"/>
      <c r="EN208" s="91"/>
      <c r="EO208" s="91"/>
      <c r="EP208" s="91"/>
      <c r="EQ208" s="91"/>
      <c r="ER208" s="91"/>
      <c r="ES208" s="91"/>
      <c r="ET208" s="91"/>
      <c r="EU208" s="91"/>
      <c r="EV208" s="91"/>
      <c r="EW208" s="91"/>
      <c r="EX208" s="91"/>
      <c r="EY208" s="91"/>
      <c r="EZ208" s="91"/>
      <c r="FA208" s="91"/>
      <c r="FB208" s="91"/>
      <c r="FC208" s="91"/>
      <c r="FD208" s="91"/>
      <c r="FE208" s="91"/>
      <c r="FF208" s="91"/>
      <c r="FG208" s="91"/>
      <c r="FH208" s="91"/>
      <c r="FI208" s="91"/>
      <c r="FJ208" s="91"/>
      <c r="FK208" s="91"/>
      <c r="FL208" s="91"/>
      <c r="FM208" s="91"/>
      <c r="FN208" s="91"/>
      <c r="FO208" s="91"/>
      <c r="FP208" s="91"/>
      <c r="FQ208" s="91"/>
      <c r="FR208" s="91"/>
      <c r="FS208" s="91"/>
      <c r="FT208" s="91"/>
      <c r="FU208" s="91"/>
      <c r="FV208" s="91"/>
    </row>
    <row r="209" spans="2:178" s="1" customFormat="1" ht="15.75">
      <c r="B209" s="358"/>
      <c r="C209" s="2"/>
      <c r="D209" s="2"/>
      <c r="E209" s="2"/>
      <c r="F209" s="2"/>
      <c r="G209" s="2"/>
      <c r="H209" s="2"/>
      <c r="I209" s="2"/>
      <c r="J209" s="2"/>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91"/>
      <c r="CI209" s="91"/>
      <c r="CJ209" s="91"/>
      <c r="CK209" s="91"/>
      <c r="CL209" s="91"/>
      <c r="CM209" s="91"/>
      <c r="CN209" s="91"/>
      <c r="CO209" s="91"/>
      <c r="CP209" s="91"/>
      <c r="CQ209" s="91"/>
      <c r="CR209" s="91"/>
      <c r="CS209" s="91"/>
      <c r="CT209" s="91"/>
      <c r="CU209" s="91"/>
      <c r="CV209" s="91"/>
      <c r="CW209" s="91"/>
      <c r="CX209" s="91"/>
      <c r="CY209" s="91"/>
      <c r="CZ209" s="91"/>
      <c r="DA209" s="91"/>
      <c r="DB209" s="91"/>
      <c r="DC209" s="91"/>
      <c r="DD209" s="91"/>
      <c r="DE209" s="91"/>
      <c r="DF209" s="91"/>
      <c r="DG209" s="91"/>
      <c r="DH209" s="91"/>
      <c r="DI209" s="91"/>
      <c r="DJ209" s="91"/>
      <c r="DK209" s="91"/>
      <c r="DL209" s="91"/>
      <c r="DM209" s="91"/>
      <c r="DN209" s="91"/>
      <c r="DO209" s="91"/>
      <c r="DP209" s="91"/>
      <c r="DQ209" s="91"/>
      <c r="DR209" s="91"/>
      <c r="DS209" s="91"/>
      <c r="DT209" s="91"/>
      <c r="DU209" s="91"/>
      <c r="DV209" s="91"/>
      <c r="DW209" s="91"/>
      <c r="DX209" s="91"/>
      <c r="DY209" s="91"/>
      <c r="DZ209" s="91"/>
      <c r="EA209" s="91"/>
      <c r="EB209" s="91"/>
      <c r="EC209" s="91"/>
      <c r="ED209" s="91"/>
      <c r="EE209" s="91"/>
      <c r="EF209" s="91"/>
      <c r="EG209" s="91"/>
      <c r="EH209" s="91"/>
      <c r="EI209" s="91"/>
      <c r="EJ209" s="91"/>
      <c r="EK209" s="91"/>
      <c r="EL209" s="91"/>
      <c r="EM209" s="91"/>
      <c r="EN209" s="91"/>
      <c r="EO209" s="91"/>
      <c r="EP209" s="91"/>
      <c r="EQ209" s="91"/>
      <c r="ER209" s="91"/>
      <c r="ES209" s="91"/>
      <c r="ET209" s="91"/>
      <c r="EU209" s="91"/>
      <c r="EV209" s="91"/>
      <c r="EW209" s="91"/>
      <c r="EX209" s="91"/>
      <c r="EY209" s="91"/>
      <c r="EZ209" s="91"/>
      <c r="FA209" s="91"/>
      <c r="FB209" s="91"/>
      <c r="FC209" s="91"/>
      <c r="FD209" s="91"/>
      <c r="FE209" s="91"/>
      <c r="FF209" s="91"/>
      <c r="FG209" s="91"/>
      <c r="FH209" s="91"/>
      <c r="FI209" s="91"/>
      <c r="FJ209" s="91"/>
      <c r="FK209" s="91"/>
      <c r="FL209" s="91"/>
      <c r="FM209" s="91"/>
      <c r="FN209" s="91"/>
      <c r="FO209" s="91"/>
      <c r="FP209" s="91"/>
      <c r="FQ209" s="91"/>
      <c r="FR209" s="91"/>
      <c r="FS209" s="91"/>
      <c r="FT209" s="91"/>
      <c r="FU209" s="91"/>
      <c r="FV209" s="91"/>
    </row>
    <row r="210" spans="2:178" s="1" customFormat="1" ht="15.75">
      <c r="B210" s="358"/>
      <c r="C210" s="2"/>
      <c r="D210" s="2"/>
      <c r="E210" s="2"/>
      <c r="F210" s="2"/>
      <c r="G210" s="2"/>
      <c r="H210" s="2"/>
      <c r="I210" s="2"/>
      <c r="J210" s="2"/>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91"/>
      <c r="CI210" s="91"/>
      <c r="CJ210" s="91"/>
      <c r="CK210" s="91"/>
      <c r="CL210" s="91"/>
      <c r="CM210" s="91"/>
      <c r="CN210" s="91"/>
      <c r="CO210" s="91"/>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91"/>
      <c r="DL210" s="91"/>
      <c r="DM210" s="91"/>
      <c r="DN210" s="91"/>
      <c r="DO210" s="91"/>
      <c r="DP210" s="91"/>
      <c r="DQ210" s="91"/>
      <c r="DR210" s="91"/>
      <c r="DS210" s="91"/>
      <c r="DT210" s="91"/>
      <c r="DU210" s="91"/>
      <c r="DV210" s="91"/>
      <c r="DW210" s="91"/>
      <c r="DX210" s="91"/>
      <c r="DY210" s="91"/>
      <c r="DZ210" s="91"/>
      <c r="EA210" s="91"/>
      <c r="EB210" s="91"/>
      <c r="EC210" s="91"/>
      <c r="ED210" s="91"/>
      <c r="EE210" s="91"/>
      <c r="EF210" s="91"/>
      <c r="EG210" s="91"/>
      <c r="EH210" s="91"/>
      <c r="EI210" s="91"/>
      <c r="EJ210" s="91"/>
      <c r="EK210" s="91"/>
      <c r="EL210" s="91"/>
      <c r="EM210" s="91"/>
      <c r="EN210" s="91"/>
      <c r="EO210" s="91"/>
      <c r="EP210" s="91"/>
      <c r="EQ210" s="91"/>
      <c r="ER210" s="91"/>
      <c r="ES210" s="91"/>
      <c r="ET210" s="91"/>
      <c r="EU210" s="91"/>
      <c r="EV210" s="91"/>
      <c r="EW210" s="91"/>
      <c r="EX210" s="91"/>
      <c r="EY210" s="91"/>
      <c r="EZ210" s="91"/>
      <c r="FA210" s="91"/>
      <c r="FB210" s="91"/>
      <c r="FC210" s="91"/>
      <c r="FD210" s="91"/>
      <c r="FE210" s="91"/>
      <c r="FF210" s="91"/>
      <c r="FG210" s="91"/>
      <c r="FH210" s="91"/>
      <c r="FI210" s="91"/>
      <c r="FJ210" s="91"/>
      <c r="FK210" s="91"/>
      <c r="FL210" s="91"/>
      <c r="FM210" s="91"/>
      <c r="FN210" s="91"/>
      <c r="FO210" s="91"/>
      <c r="FP210" s="91"/>
      <c r="FQ210" s="91"/>
      <c r="FR210" s="91"/>
      <c r="FS210" s="91"/>
      <c r="FT210" s="91"/>
      <c r="FU210" s="91"/>
      <c r="FV210" s="91"/>
    </row>
    <row r="211" spans="2:178" s="1" customFormat="1" ht="15.75">
      <c r="B211" s="358"/>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91"/>
      <c r="CI211" s="91"/>
      <c r="CJ211" s="91"/>
      <c r="CK211" s="91"/>
      <c r="CL211" s="91"/>
      <c r="CM211" s="91"/>
      <c r="CN211" s="91"/>
      <c r="CO211" s="91"/>
      <c r="CP211" s="91"/>
      <c r="CQ211" s="91"/>
      <c r="CR211" s="91"/>
      <c r="CS211" s="91"/>
      <c r="CT211" s="91"/>
      <c r="CU211" s="91"/>
      <c r="CV211" s="91"/>
      <c r="CW211" s="91"/>
      <c r="CX211" s="91"/>
      <c r="CY211" s="91"/>
      <c r="CZ211" s="91"/>
      <c r="DA211" s="91"/>
      <c r="DB211" s="91"/>
      <c r="DC211" s="91"/>
      <c r="DD211" s="91"/>
      <c r="DE211" s="91"/>
      <c r="DF211" s="91"/>
      <c r="DG211" s="91"/>
      <c r="DH211" s="91"/>
      <c r="DI211" s="91"/>
      <c r="DJ211" s="91"/>
      <c r="DK211" s="91"/>
      <c r="DL211" s="91"/>
      <c r="DM211" s="91"/>
      <c r="DN211" s="91"/>
      <c r="DO211" s="91"/>
      <c r="DP211" s="91"/>
      <c r="DQ211" s="91"/>
      <c r="DR211" s="91"/>
      <c r="DS211" s="91"/>
      <c r="DT211" s="91"/>
      <c r="DU211" s="91"/>
      <c r="DV211" s="91"/>
      <c r="DW211" s="91"/>
      <c r="DX211" s="91"/>
      <c r="DY211" s="91"/>
      <c r="DZ211" s="91"/>
      <c r="EA211" s="91"/>
      <c r="EB211" s="91"/>
      <c r="EC211" s="91"/>
      <c r="ED211" s="91"/>
      <c r="EE211" s="91"/>
      <c r="EF211" s="91"/>
      <c r="EG211" s="91"/>
      <c r="EH211" s="91"/>
      <c r="EI211" s="91"/>
      <c r="EJ211" s="91"/>
      <c r="EK211" s="91"/>
      <c r="EL211" s="91"/>
      <c r="EM211" s="91"/>
      <c r="EN211" s="91"/>
      <c r="EO211" s="91"/>
      <c r="EP211" s="91"/>
      <c r="EQ211" s="91"/>
      <c r="ER211" s="91"/>
      <c r="ES211" s="91"/>
      <c r="ET211" s="91"/>
      <c r="EU211" s="91"/>
      <c r="EV211" s="91"/>
      <c r="EW211" s="91"/>
      <c r="EX211" s="91"/>
      <c r="EY211" s="91"/>
      <c r="EZ211" s="91"/>
      <c r="FA211" s="91"/>
      <c r="FB211" s="91"/>
      <c r="FC211" s="91"/>
      <c r="FD211" s="91"/>
      <c r="FE211" s="91"/>
      <c r="FF211" s="91"/>
      <c r="FG211" s="91"/>
      <c r="FH211" s="91"/>
      <c r="FI211" s="91"/>
      <c r="FJ211" s="91"/>
      <c r="FK211" s="91"/>
      <c r="FL211" s="91"/>
      <c r="FM211" s="91"/>
      <c r="FN211" s="91"/>
      <c r="FO211" s="91"/>
      <c r="FP211" s="91"/>
      <c r="FQ211" s="91"/>
      <c r="FR211" s="91"/>
      <c r="FS211" s="91"/>
      <c r="FT211" s="91"/>
      <c r="FU211" s="91"/>
      <c r="FV211" s="91"/>
    </row>
    <row r="212" spans="2:178" s="1" customFormat="1" ht="15.75">
      <c r="B212" s="358"/>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c r="CZ212" s="91"/>
      <c r="DA212" s="91"/>
      <c r="DB212" s="91"/>
      <c r="DC212" s="91"/>
      <c r="DD212" s="91"/>
      <c r="DE212" s="91"/>
      <c r="DF212" s="91"/>
      <c r="DG212" s="91"/>
      <c r="DH212" s="91"/>
      <c r="DI212" s="91"/>
      <c r="DJ212" s="91"/>
      <c r="DK212" s="91"/>
      <c r="DL212" s="91"/>
      <c r="DM212" s="91"/>
      <c r="DN212" s="91"/>
      <c r="DO212" s="91"/>
      <c r="DP212" s="91"/>
      <c r="DQ212" s="91"/>
      <c r="DR212" s="91"/>
      <c r="DS212" s="91"/>
      <c r="DT212" s="91"/>
      <c r="DU212" s="91"/>
      <c r="DV212" s="91"/>
      <c r="DW212" s="91"/>
      <c r="DX212" s="91"/>
      <c r="DY212" s="91"/>
      <c r="DZ212" s="91"/>
      <c r="EA212" s="91"/>
      <c r="EB212" s="91"/>
      <c r="EC212" s="91"/>
      <c r="ED212" s="91"/>
      <c r="EE212" s="91"/>
      <c r="EF212" s="91"/>
      <c r="EG212" s="91"/>
      <c r="EH212" s="91"/>
      <c r="EI212" s="91"/>
      <c r="EJ212" s="91"/>
      <c r="EK212" s="91"/>
      <c r="EL212" s="91"/>
      <c r="EM212" s="91"/>
      <c r="EN212" s="91"/>
      <c r="EO212" s="91"/>
      <c r="EP212" s="91"/>
      <c r="EQ212" s="91"/>
      <c r="ER212" s="91"/>
      <c r="ES212" s="91"/>
      <c r="ET212" s="91"/>
      <c r="EU212" s="91"/>
      <c r="EV212" s="91"/>
      <c r="EW212" s="91"/>
      <c r="EX212" s="91"/>
      <c r="EY212" s="91"/>
      <c r="EZ212" s="91"/>
      <c r="FA212" s="91"/>
      <c r="FB212" s="91"/>
      <c r="FC212" s="91"/>
      <c r="FD212" s="91"/>
      <c r="FE212" s="91"/>
      <c r="FF212" s="91"/>
      <c r="FG212" s="91"/>
      <c r="FH212" s="91"/>
      <c r="FI212" s="91"/>
      <c r="FJ212" s="91"/>
      <c r="FK212" s="91"/>
      <c r="FL212" s="91"/>
      <c r="FM212" s="91"/>
      <c r="FN212" s="91"/>
      <c r="FO212" s="91"/>
      <c r="FP212" s="91"/>
      <c r="FQ212" s="91"/>
      <c r="FR212" s="91"/>
      <c r="FS212" s="91"/>
      <c r="FT212" s="91"/>
      <c r="FU212" s="91"/>
      <c r="FV212" s="91"/>
    </row>
    <row r="213" spans="2:178" s="1" customFormat="1" ht="15.75">
      <c r="B213" s="358"/>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c r="CZ213" s="91"/>
      <c r="DA213" s="91"/>
      <c r="DB213" s="91"/>
      <c r="DC213" s="91"/>
      <c r="DD213" s="91"/>
      <c r="DE213" s="91"/>
      <c r="DF213" s="91"/>
      <c r="DG213" s="91"/>
      <c r="DH213" s="91"/>
      <c r="DI213" s="91"/>
      <c r="DJ213" s="91"/>
      <c r="DK213" s="91"/>
      <c r="DL213" s="91"/>
      <c r="DM213" s="91"/>
      <c r="DN213" s="91"/>
      <c r="DO213" s="91"/>
      <c r="DP213" s="91"/>
      <c r="DQ213" s="91"/>
      <c r="DR213" s="91"/>
      <c r="DS213" s="91"/>
      <c r="DT213" s="91"/>
      <c r="DU213" s="91"/>
      <c r="DV213" s="91"/>
      <c r="DW213" s="91"/>
      <c r="DX213" s="91"/>
      <c r="DY213" s="91"/>
      <c r="DZ213" s="91"/>
      <c r="EA213" s="91"/>
      <c r="EB213" s="91"/>
      <c r="EC213" s="91"/>
      <c r="ED213" s="91"/>
      <c r="EE213" s="91"/>
      <c r="EF213" s="91"/>
      <c r="EG213" s="91"/>
      <c r="EH213" s="91"/>
      <c r="EI213" s="91"/>
      <c r="EJ213" s="91"/>
      <c r="EK213" s="91"/>
      <c r="EL213" s="91"/>
      <c r="EM213" s="91"/>
      <c r="EN213" s="91"/>
      <c r="EO213" s="91"/>
      <c r="EP213" s="91"/>
      <c r="EQ213" s="91"/>
      <c r="ER213" s="91"/>
      <c r="ES213" s="91"/>
      <c r="ET213" s="91"/>
      <c r="EU213" s="91"/>
      <c r="EV213" s="91"/>
      <c r="EW213" s="91"/>
      <c r="EX213" s="91"/>
      <c r="EY213" s="91"/>
      <c r="EZ213" s="91"/>
      <c r="FA213" s="91"/>
      <c r="FB213" s="91"/>
      <c r="FC213" s="91"/>
      <c r="FD213" s="91"/>
      <c r="FE213" s="91"/>
      <c r="FF213" s="91"/>
      <c r="FG213" s="91"/>
      <c r="FH213" s="91"/>
      <c r="FI213" s="91"/>
      <c r="FJ213" s="91"/>
      <c r="FK213" s="91"/>
      <c r="FL213" s="91"/>
      <c r="FM213" s="91"/>
      <c r="FN213" s="91"/>
      <c r="FO213" s="91"/>
      <c r="FP213" s="91"/>
      <c r="FQ213" s="91"/>
      <c r="FR213" s="91"/>
      <c r="FS213" s="91"/>
      <c r="FT213" s="91"/>
      <c r="FU213" s="91"/>
      <c r="FV213" s="91"/>
    </row>
    <row r="214" spans="2:178" s="1" customFormat="1" ht="15.75">
      <c r="B214" s="358"/>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c r="CZ214" s="91"/>
      <c r="DA214" s="91"/>
      <c r="DB214" s="91"/>
      <c r="DC214" s="91"/>
      <c r="DD214" s="91"/>
      <c r="DE214" s="91"/>
      <c r="DF214" s="91"/>
      <c r="DG214" s="91"/>
      <c r="DH214" s="91"/>
      <c r="DI214" s="91"/>
      <c r="DJ214" s="91"/>
      <c r="DK214" s="91"/>
      <c r="DL214" s="91"/>
      <c r="DM214" s="91"/>
      <c r="DN214" s="91"/>
      <c r="DO214" s="91"/>
      <c r="DP214" s="91"/>
      <c r="DQ214" s="91"/>
      <c r="DR214" s="91"/>
      <c r="DS214" s="91"/>
      <c r="DT214" s="91"/>
      <c r="DU214" s="91"/>
      <c r="DV214" s="91"/>
      <c r="DW214" s="91"/>
      <c r="DX214" s="91"/>
      <c r="DY214" s="91"/>
      <c r="DZ214" s="91"/>
      <c r="EA214" s="91"/>
      <c r="EB214" s="91"/>
      <c r="EC214" s="91"/>
      <c r="ED214" s="91"/>
      <c r="EE214" s="91"/>
      <c r="EF214" s="91"/>
      <c r="EG214" s="91"/>
      <c r="EH214" s="91"/>
      <c r="EI214" s="91"/>
      <c r="EJ214" s="91"/>
      <c r="EK214" s="91"/>
      <c r="EL214" s="91"/>
      <c r="EM214" s="91"/>
      <c r="EN214" s="91"/>
      <c r="EO214" s="91"/>
      <c r="EP214" s="91"/>
      <c r="EQ214" s="91"/>
      <c r="ER214" s="91"/>
      <c r="ES214" s="91"/>
      <c r="ET214" s="91"/>
      <c r="EU214" s="91"/>
      <c r="EV214" s="91"/>
      <c r="EW214" s="91"/>
      <c r="EX214" s="91"/>
      <c r="EY214" s="91"/>
      <c r="EZ214" s="91"/>
      <c r="FA214" s="91"/>
      <c r="FB214" s="91"/>
      <c r="FC214" s="91"/>
      <c r="FD214" s="91"/>
      <c r="FE214" s="91"/>
      <c r="FF214" s="91"/>
      <c r="FG214" s="91"/>
      <c r="FH214" s="91"/>
      <c r="FI214" s="91"/>
      <c r="FJ214" s="91"/>
      <c r="FK214" s="91"/>
      <c r="FL214" s="91"/>
      <c r="FM214" s="91"/>
      <c r="FN214" s="91"/>
      <c r="FO214" s="91"/>
      <c r="FP214" s="91"/>
      <c r="FQ214" s="91"/>
      <c r="FR214" s="91"/>
      <c r="FS214" s="91"/>
      <c r="FT214" s="91"/>
      <c r="FU214" s="91"/>
      <c r="FV214" s="91"/>
    </row>
    <row r="215" spans="2:178" s="1" customFormat="1" ht="15.75">
      <c r="B215" s="358"/>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c r="CZ215" s="91"/>
      <c r="DA215" s="91"/>
      <c r="DB215" s="91"/>
      <c r="DC215" s="91"/>
      <c r="DD215" s="91"/>
      <c r="DE215" s="91"/>
      <c r="DF215" s="91"/>
      <c r="DG215" s="91"/>
      <c r="DH215" s="91"/>
      <c r="DI215" s="91"/>
      <c r="DJ215" s="91"/>
      <c r="DK215" s="91"/>
      <c r="DL215" s="91"/>
      <c r="DM215" s="91"/>
      <c r="DN215" s="91"/>
      <c r="DO215" s="91"/>
      <c r="DP215" s="91"/>
      <c r="DQ215" s="91"/>
      <c r="DR215" s="91"/>
      <c r="DS215" s="91"/>
      <c r="DT215" s="91"/>
      <c r="DU215" s="91"/>
      <c r="DV215" s="91"/>
      <c r="DW215" s="91"/>
      <c r="DX215" s="91"/>
      <c r="DY215" s="91"/>
      <c r="DZ215" s="91"/>
      <c r="EA215" s="91"/>
      <c r="EB215" s="91"/>
      <c r="EC215" s="91"/>
      <c r="ED215" s="91"/>
      <c r="EE215" s="91"/>
      <c r="EF215" s="91"/>
      <c r="EG215" s="91"/>
      <c r="EH215" s="91"/>
      <c r="EI215" s="91"/>
      <c r="EJ215" s="91"/>
      <c r="EK215" s="91"/>
      <c r="EL215" s="91"/>
      <c r="EM215" s="91"/>
      <c r="EN215" s="91"/>
      <c r="EO215" s="91"/>
      <c r="EP215" s="91"/>
      <c r="EQ215" s="91"/>
      <c r="ER215" s="91"/>
      <c r="ES215" s="91"/>
      <c r="ET215" s="91"/>
      <c r="EU215" s="91"/>
      <c r="EV215" s="91"/>
      <c r="EW215" s="91"/>
      <c r="EX215" s="91"/>
      <c r="EY215" s="91"/>
      <c r="EZ215" s="91"/>
      <c r="FA215" s="91"/>
      <c r="FB215" s="91"/>
      <c r="FC215" s="91"/>
      <c r="FD215" s="91"/>
      <c r="FE215" s="91"/>
      <c r="FF215" s="91"/>
      <c r="FG215" s="91"/>
      <c r="FH215" s="91"/>
      <c r="FI215" s="91"/>
      <c r="FJ215" s="91"/>
      <c r="FK215" s="91"/>
      <c r="FL215" s="91"/>
      <c r="FM215" s="91"/>
      <c r="FN215" s="91"/>
      <c r="FO215" s="91"/>
      <c r="FP215" s="91"/>
      <c r="FQ215" s="91"/>
      <c r="FR215" s="91"/>
      <c r="FS215" s="91"/>
      <c r="FT215" s="91"/>
      <c r="FU215" s="91"/>
      <c r="FV215" s="91"/>
    </row>
    <row r="216" spans="2:178" s="1" customFormat="1" ht="15.75">
      <c r="B216" s="358"/>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c r="CZ216" s="91"/>
      <c r="DA216" s="91"/>
      <c r="DB216" s="91"/>
      <c r="DC216" s="91"/>
      <c r="DD216" s="91"/>
      <c r="DE216" s="91"/>
      <c r="DF216" s="91"/>
      <c r="DG216" s="91"/>
      <c r="DH216" s="91"/>
      <c r="DI216" s="91"/>
      <c r="DJ216" s="91"/>
      <c r="DK216" s="91"/>
      <c r="DL216" s="91"/>
      <c r="DM216" s="91"/>
      <c r="DN216" s="91"/>
      <c r="DO216" s="91"/>
      <c r="DP216" s="91"/>
      <c r="DQ216" s="91"/>
      <c r="DR216" s="91"/>
      <c r="DS216" s="91"/>
      <c r="DT216" s="91"/>
      <c r="DU216" s="91"/>
      <c r="DV216" s="91"/>
      <c r="DW216" s="91"/>
      <c r="DX216" s="91"/>
      <c r="DY216" s="91"/>
      <c r="DZ216" s="91"/>
      <c r="EA216" s="91"/>
      <c r="EB216" s="91"/>
      <c r="EC216" s="91"/>
      <c r="ED216" s="91"/>
      <c r="EE216" s="91"/>
      <c r="EF216" s="91"/>
      <c r="EG216" s="91"/>
      <c r="EH216" s="91"/>
      <c r="EI216" s="91"/>
      <c r="EJ216" s="91"/>
      <c r="EK216" s="91"/>
      <c r="EL216" s="91"/>
      <c r="EM216" s="91"/>
      <c r="EN216" s="91"/>
      <c r="EO216" s="91"/>
      <c r="EP216" s="91"/>
      <c r="EQ216" s="91"/>
      <c r="ER216" s="91"/>
      <c r="ES216" s="91"/>
      <c r="ET216" s="91"/>
      <c r="EU216" s="91"/>
      <c r="EV216" s="91"/>
      <c r="EW216" s="91"/>
      <c r="EX216" s="91"/>
      <c r="EY216" s="91"/>
      <c r="EZ216" s="91"/>
      <c r="FA216" s="91"/>
      <c r="FB216" s="91"/>
      <c r="FC216" s="91"/>
      <c r="FD216" s="91"/>
      <c r="FE216" s="91"/>
      <c r="FF216" s="91"/>
      <c r="FG216" s="91"/>
      <c r="FH216" s="91"/>
      <c r="FI216" s="91"/>
      <c r="FJ216" s="91"/>
      <c r="FK216" s="91"/>
      <c r="FL216" s="91"/>
      <c r="FM216" s="91"/>
      <c r="FN216" s="91"/>
      <c r="FO216" s="91"/>
      <c r="FP216" s="91"/>
      <c r="FQ216" s="91"/>
      <c r="FR216" s="91"/>
      <c r="FS216" s="91"/>
      <c r="FT216" s="91"/>
      <c r="FU216" s="91"/>
      <c r="FV216" s="91"/>
    </row>
    <row r="217" spans="2:178" s="1" customFormat="1" ht="15.75">
      <c r="B217" s="358"/>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c r="EP217" s="91"/>
      <c r="EQ217" s="91"/>
      <c r="ER217" s="91"/>
      <c r="ES217" s="91"/>
      <c r="ET217" s="91"/>
      <c r="EU217" s="91"/>
      <c r="EV217" s="91"/>
      <c r="EW217" s="91"/>
      <c r="EX217" s="91"/>
      <c r="EY217" s="91"/>
      <c r="EZ217" s="91"/>
      <c r="FA217" s="91"/>
      <c r="FB217" s="91"/>
      <c r="FC217" s="91"/>
      <c r="FD217" s="91"/>
      <c r="FE217" s="91"/>
      <c r="FF217" s="91"/>
      <c r="FG217" s="91"/>
      <c r="FH217" s="91"/>
      <c r="FI217" s="91"/>
      <c r="FJ217" s="91"/>
      <c r="FK217" s="91"/>
      <c r="FL217" s="91"/>
      <c r="FM217" s="91"/>
      <c r="FN217" s="91"/>
      <c r="FO217" s="91"/>
      <c r="FP217" s="91"/>
      <c r="FQ217" s="91"/>
      <c r="FR217" s="91"/>
      <c r="FS217" s="91"/>
      <c r="FT217" s="91"/>
      <c r="FU217" s="91"/>
      <c r="FV217" s="91"/>
    </row>
    <row r="218" spans="2:178" s="1" customFormat="1" ht="15.75">
      <c r="B218" s="358"/>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c r="EP218" s="91"/>
      <c r="EQ218" s="91"/>
      <c r="ER218" s="91"/>
      <c r="ES218" s="91"/>
      <c r="ET218" s="91"/>
      <c r="EU218" s="91"/>
      <c r="EV218" s="91"/>
      <c r="EW218" s="91"/>
      <c r="EX218" s="91"/>
      <c r="EY218" s="91"/>
      <c r="EZ218" s="91"/>
      <c r="FA218" s="91"/>
      <c r="FB218" s="91"/>
      <c r="FC218" s="91"/>
      <c r="FD218" s="91"/>
      <c r="FE218" s="91"/>
      <c r="FF218" s="91"/>
      <c r="FG218" s="91"/>
      <c r="FH218" s="91"/>
      <c r="FI218" s="91"/>
      <c r="FJ218" s="91"/>
      <c r="FK218" s="91"/>
      <c r="FL218" s="91"/>
      <c r="FM218" s="91"/>
      <c r="FN218" s="91"/>
      <c r="FO218" s="91"/>
      <c r="FP218" s="91"/>
      <c r="FQ218" s="91"/>
      <c r="FR218" s="91"/>
      <c r="FS218" s="91"/>
      <c r="FT218" s="91"/>
      <c r="FU218" s="91"/>
      <c r="FV218" s="91"/>
    </row>
    <row r="219" spans="2:178" s="1" customFormat="1" ht="15.75">
      <c r="B219" s="358"/>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c r="CZ219" s="91"/>
      <c r="DA219" s="91"/>
      <c r="DB219" s="91"/>
      <c r="DC219" s="91"/>
      <c r="DD219" s="91"/>
      <c r="DE219" s="91"/>
      <c r="DF219" s="91"/>
      <c r="DG219" s="91"/>
      <c r="DH219" s="91"/>
      <c r="DI219" s="91"/>
      <c r="DJ219" s="91"/>
      <c r="DK219" s="91"/>
      <c r="DL219" s="91"/>
      <c r="DM219" s="91"/>
      <c r="DN219" s="91"/>
      <c r="DO219" s="91"/>
      <c r="DP219" s="91"/>
      <c r="DQ219" s="91"/>
      <c r="DR219" s="91"/>
      <c r="DS219" s="91"/>
      <c r="DT219" s="91"/>
      <c r="DU219" s="91"/>
      <c r="DV219" s="91"/>
      <c r="DW219" s="91"/>
      <c r="DX219" s="91"/>
      <c r="DY219" s="91"/>
      <c r="DZ219" s="91"/>
      <c r="EA219" s="91"/>
      <c r="EB219" s="91"/>
      <c r="EC219" s="91"/>
      <c r="ED219" s="91"/>
      <c r="EE219" s="91"/>
      <c r="EF219" s="91"/>
      <c r="EG219" s="91"/>
      <c r="EH219" s="91"/>
      <c r="EI219" s="91"/>
      <c r="EJ219" s="91"/>
      <c r="EK219" s="91"/>
      <c r="EL219" s="91"/>
      <c r="EM219" s="91"/>
      <c r="EN219" s="91"/>
      <c r="EO219" s="91"/>
      <c r="EP219" s="91"/>
      <c r="EQ219" s="91"/>
      <c r="ER219" s="91"/>
      <c r="ES219" s="91"/>
      <c r="ET219" s="91"/>
      <c r="EU219" s="91"/>
      <c r="EV219" s="91"/>
      <c r="EW219" s="91"/>
      <c r="EX219" s="91"/>
      <c r="EY219" s="91"/>
      <c r="EZ219" s="91"/>
      <c r="FA219" s="91"/>
      <c r="FB219" s="91"/>
      <c r="FC219" s="91"/>
      <c r="FD219" s="91"/>
      <c r="FE219" s="91"/>
      <c r="FF219" s="91"/>
      <c r="FG219" s="91"/>
      <c r="FH219" s="91"/>
      <c r="FI219" s="91"/>
      <c r="FJ219" s="91"/>
      <c r="FK219" s="91"/>
      <c r="FL219" s="91"/>
      <c r="FM219" s="91"/>
      <c r="FN219" s="91"/>
      <c r="FO219" s="91"/>
      <c r="FP219" s="91"/>
      <c r="FQ219" s="91"/>
      <c r="FR219" s="91"/>
      <c r="FS219" s="91"/>
      <c r="FT219" s="91"/>
      <c r="FU219" s="91"/>
      <c r="FV219" s="91"/>
    </row>
    <row r="220" spans="2:178" s="1" customFormat="1" ht="15.75">
      <c r="B220" s="358"/>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91"/>
      <c r="CI220" s="91"/>
      <c r="CJ220" s="91"/>
      <c r="CK220" s="91"/>
      <c r="CL220" s="91"/>
      <c r="CM220" s="91"/>
      <c r="CN220" s="91"/>
      <c r="CO220" s="91"/>
      <c r="CP220" s="91"/>
      <c r="CQ220" s="91"/>
      <c r="CR220" s="91"/>
      <c r="CS220" s="91"/>
      <c r="CT220" s="91"/>
      <c r="CU220" s="91"/>
      <c r="CV220" s="91"/>
      <c r="CW220" s="91"/>
      <c r="CX220" s="91"/>
      <c r="CY220" s="91"/>
      <c r="CZ220" s="91"/>
      <c r="DA220" s="91"/>
      <c r="DB220" s="91"/>
      <c r="DC220" s="91"/>
      <c r="DD220" s="91"/>
      <c r="DE220" s="91"/>
      <c r="DF220" s="91"/>
      <c r="DG220" s="91"/>
      <c r="DH220" s="91"/>
      <c r="DI220" s="91"/>
      <c r="DJ220" s="91"/>
      <c r="DK220" s="91"/>
      <c r="DL220" s="91"/>
      <c r="DM220" s="91"/>
      <c r="DN220" s="91"/>
      <c r="DO220" s="91"/>
      <c r="DP220" s="91"/>
      <c r="DQ220" s="91"/>
      <c r="DR220" s="91"/>
      <c r="DS220" s="91"/>
      <c r="DT220" s="91"/>
      <c r="DU220" s="91"/>
      <c r="DV220" s="91"/>
      <c r="DW220" s="91"/>
      <c r="DX220" s="91"/>
      <c r="DY220" s="91"/>
      <c r="DZ220" s="91"/>
      <c r="EA220" s="91"/>
      <c r="EB220" s="91"/>
      <c r="EC220" s="91"/>
      <c r="ED220" s="91"/>
      <c r="EE220" s="91"/>
      <c r="EF220" s="91"/>
      <c r="EG220" s="91"/>
      <c r="EH220" s="91"/>
      <c r="EI220" s="91"/>
      <c r="EJ220" s="91"/>
      <c r="EK220" s="91"/>
      <c r="EL220" s="91"/>
      <c r="EM220" s="91"/>
      <c r="EN220" s="91"/>
      <c r="EO220" s="91"/>
      <c r="EP220" s="91"/>
      <c r="EQ220" s="91"/>
      <c r="ER220" s="91"/>
      <c r="ES220" s="91"/>
      <c r="ET220" s="91"/>
      <c r="EU220" s="91"/>
      <c r="EV220" s="91"/>
      <c r="EW220" s="91"/>
      <c r="EX220" s="91"/>
      <c r="EY220" s="91"/>
      <c r="EZ220" s="91"/>
      <c r="FA220" s="91"/>
      <c r="FB220" s="91"/>
      <c r="FC220" s="91"/>
      <c r="FD220" s="91"/>
      <c r="FE220" s="91"/>
      <c r="FF220" s="91"/>
      <c r="FG220" s="91"/>
      <c r="FH220" s="91"/>
      <c r="FI220" s="91"/>
      <c r="FJ220" s="91"/>
      <c r="FK220" s="91"/>
      <c r="FL220" s="91"/>
      <c r="FM220" s="91"/>
      <c r="FN220" s="91"/>
      <c r="FO220" s="91"/>
      <c r="FP220" s="91"/>
      <c r="FQ220" s="91"/>
      <c r="FR220" s="91"/>
      <c r="FS220" s="91"/>
      <c r="FT220" s="91"/>
      <c r="FU220" s="91"/>
      <c r="FV220" s="91"/>
    </row>
    <row r="221" spans="2:178" s="1" customFormat="1" ht="15.75">
      <c r="B221" s="358"/>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c r="CZ221" s="91"/>
      <c r="DA221" s="91"/>
      <c r="DB221" s="91"/>
      <c r="DC221" s="91"/>
      <c r="DD221" s="91"/>
      <c r="DE221" s="91"/>
      <c r="DF221" s="91"/>
      <c r="DG221" s="91"/>
      <c r="DH221" s="91"/>
      <c r="DI221" s="91"/>
      <c r="DJ221" s="91"/>
      <c r="DK221" s="91"/>
      <c r="DL221" s="91"/>
      <c r="DM221" s="91"/>
      <c r="DN221" s="91"/>
      <c r="DO221" s="91"/>
      <c r="DP221" s="91"/>
      <c r="DQ221" s="91"/>
      <c r="DR221" s="91"/>
      <c r="DS221" s="91"/>
      <c r="DT221" s="91"/>
      <c r="DU221" s="91"/>
      <c r="DV221" s="91"/>
      <c r="DW221" s="91"/>
      <c r="DX221" s="91"/>
      <c r="DY221" s="91"/>
      <c r="DZ221" s="91"/>
      <c r="EA221" s="91"/>
      <c r="EB221" s="91"/>
      <c r="EC221" s="91"/>
      <c r="ED221" s="91"/>
      <c r="EE221" s="91"/>
      <c r="EF221" s="91"/>
      <c r="EG221" s="91"/>
      <c r="EH221" s="91"/>
      <c r="EI221" s="91"/>
      <c r="EJ221" s="91"/>
      <c r="EK221" s="91"/>
      <c r="EL221" s="91"/>
      <c r="EM221" s="91"/>
      <c r="EN221" s="91"/>
      <c r="EO221" s="91"/>
      <c r="EP221" s="91"/>
      <c r="EQ221" s="91"/>
      <c r="ER221" s="91"/>
      <c r="ES221" s="91"/>
      <c r="ET221" s="91"/>
      <c r="EU221" s="91"/>
      <c r="EV221" s="91"/>
      <c r="EW221" s="91"/>
      <c r="EX221" s="91"/>
      <c r="EY221" s="91"/>
      <c r="EZ221" s="91"/>
      <c r="FA221" s="91"/>
      <c r="FB221" s="91"/>
      <c r="FC221" s="91"/>
      <c r="FD221" s="91"/>
      <c r="FE221" s="91"/>
      <c r="FF221" s="91"/>
      <c r="FG221" s="91"/>
      <c r="FH221" s="91"/>
      <c r="FI221" s="91"/>
      <c r="FJ221" s="91"/>
      <c r="FK221" s="91"/>
      <c r="FL221" s="91"/>
      <c r="FM221" s="91"/>
      <c r="FN221" s="91"/>
      <c r="FO221" s="91"/>
      <c r="FP221" s="91"/>
      <c r="FQ221" s="91"/>
      <c r="FR221" s="91"/>
      <c r="FS221" s="91"/>
      <c r="FT221" s="91"/>
      <c r="FU221" s="91"/>
      <c r="FV221" s="91"/>
    </row>
    <row r="222" spans="2:178" s="1" customFormat="1" ht="15.75">
      <c r="B222" s="358"/>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c r="CZ222" s="91"/>
      <c r="DA222" s="91"/>
      <c r="DB222" s="91"/>
      <c r="DC222" s="91"/>
      <c r="DD222" s="91"/>
      <c r="DE222" s="91"/>
      <c r="DF222" s="91"/>
      <c r="DG222" s="91"/>
      <c r="DH222" s="91"/>
      <c r="DI222" s="91"/>
      <c r="DJ222" s="91"/>
      <c r="DK222" s="91"/>
      <c r="DL222" s="91"/>
      <c r="DM222" s="91"/>
      <c r="DN222" s="91"/>
      <c r="DO222" s="91"/>
      <c r="DP222" s="91"/>
      <c r="DQ222" s="91"/>
      <c r="DR222" s="91"/>
      <c r="DS222" s="91"/>
      <c r="DT222" s="91"/>
      <c r="DU222" s="91"/>
      <c r="DV222" s="91"/>
      <c r="DW222" s="91"/>
      <c r="DX222" s="91"/>
      <c r="DY222" s="91"/>
      <c r="DZ222" s="91"/>
      <c r="EA222" s="91"/>
      <c r="EB222" s="91"/>
      <c r="EC222" s="91"/>
      <c r="ED222" s="91"/>
      <c r="EE222" s="91"/>
      <c r="EF222" s="91"/>
      <c r="EG222" s="91"/>
      <c r="EH222" s="91"/>
      <c r="EI222" s="91"/>
      <c r="EJ222" s="91"/>
      <c r="EK222" s="91"/>
      <c r="EL222" s="91"/>
      <c r="EM222" s="91"/>
      <c r="EN222" s="91"/>
      <c r="EO222" s="91"/>
      <c r="EP222" s="91"/>
      <c r="EQ222" s="91"/>
      <c r="ER222" s="91"/>
      <c r="ES222" s="91"/>
      <c r="ET222" s="91"/>
      <c r="EU222" s="91"/>
      <c r="EV222" s="91"/>
      <c r="EW222" s="91"/>
      <c r="EX222" s="91"/>
      <c r="EY222" s="91"/>
      <c r="EZ222" s="91"/>
      <c r="FA222" s="91"/>
      <c r="FB222" s="91"/>
      <c r="FC222" s="91"/>
      <c r="FD222" s="91"/>
      <c r="FE222" s="91"/>
      <c r="FF222" s="91"/>
      <c r="FG222" s="91"/>
      <c r="FH222" s="91"/>
      <c r="FI222" s="91"/>
      <c r="FJ222" s="91"/>
      <c r="FK222" s="91"/>
      <c r="FL222" s="91"/>
      <c r="FM222" s="91"/>
      <c r="FN222" s="91"/>
      <c r="FO222" s="91"/>
      <c r="FP222" s="91"/>
      <c r="FQ222" s="91"/>
      <c r="FR222" s="91"/>
      <c r="FS222" s="91"/>
      <c r="FT222" s="91"/>
      <c r="FU222" s="91"/>
      <c r="FV222" s="91"/>
    </row>
    <row r="223" spans="2:178" s="1" customFormat="1" ht="15.75">
      <c r="B223" s="358"/>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c r="CZ223" s="91"/>
      <c r="DA223" s="91"/>
      <c r="DB223" s="91"/>
      <c r="DC223" s="91"/>
      <c r="DD223" s="91"/>
      <c r="DE223" s="91"/>
      <c r="DF223" s="91"/>
      <c r="DG223" s="91"/>
      <c r="DH223" s="91"/>
      <c r="DI223" s="91"/>
      <c r="DJ223" s="91"/>
      <c r="DK223" s="91"/>
      <c r="DL223" s="91"/>
      <c r="DM223" s="91"/>
      <c r="DN223" s="91"/>
      <c r="DO223" s="91"/>
      <c r="DP223" s="91"/>
      <c r="DQ223" s="91"/>
      <c r="DR223" s="91"/>
      <c r="DS223" s="91"/>
      <c r="DT223" s="91"/>
      <c r="DU223" s="91"/>
      <c r="DV223" s="91"/>
      <c r="DW223" s="91"/>
      <c r="DX223" s="91"/>
      <c r="DY223" s="91"/>
      <c r="DZ223" s="91"/>
      <c r="EA223" s="91"/>
      <c r="EB223" s="91"/>
      <c r="EC223" s="91"/>
      <c r="ED223" s="91"/>
      <c r="EE223" s="91"/>
      <c r="EF223" s="91"/>
      <c r="EG223" s="91"/>
      <c r="EH223" s="91"/>
      <c r="EI223" s="91"/>
      <c r="EJ223" s="91"/>
      <c r="EK223" s="91"/>
      <c r="EL223" s="91"/>
      <c r="EM223" s="91"/>
      <c r="EN223" s="91"/>
      <c r="EO223" s="91"/>
      <c r="EP223" s="91"/>
      <c r="EQ223" s="91"/>
      <c r="ER223" s="91"/>
      <c r="ES223" s="91"/>
      <c r="ET223" s="91"/>
      <c r="EU223" s="91"/>
      <c r="EV223" s="91"/>
      <c r="EW223" s="91"/>
      <c r="EX223" s="91"/>
      <c r="EY223" s="91"/>
      <c r="EZ223" s="91"/>
      <c r="FA223" s="91"/>
      <c r="FB223" s="91"/>
      <c r="FC223" s="91"/>
      <c r="FD223" s="91"/>
      <c r="FE223" s="91"/>
      <c r="FF223" s="91"/>
      <c r="FG223" s="91"/>
      <c r="FH223" s="91"/>
      <c r="FI223" s="91"/>
      <c r="FJ223" s="91"/>
      <c r="FK223" s="91"/>
      <c r="FL223" s="91"/>
      <c r="FM223" s="91"/>
      <c r="FN223" s="91"/>
      <c r="FO223" s="91"/>
      <c r="FP223" s="91"/>
      <c r="FQ223" s="91"/>
      <c r="FR223" s="91"/>
      <c r="FS223" s="91"/>
      <c r="FT223" s="91"/>
      <c r="FU223" s="91"/>
      <c r="FV223" s="91"/>
    </row>
    <row r="224" spans="2:178" s="1" customFormat="1" ht="15.75">
      <c r="B224" s="358"/>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91"/>
      <c r="CI224" s="91"/>
      <c r="CJ224" s="91"/>
      <c r="CK224" s="91"/>
      <c r="CL224" s="91"/>
      <c r="CM224" s="91"/>
      <c r="CN224" s="91"/>
      <c r="CO224" s="91"/>
      <c r="CP224" s="91"/>
      <c r="CQ224" s="91"/>
      <c r="CR224" s="91"/>
      <c r="CS224" s="91"/>
      <c r="CT224" s="91"/>
      <c r="CU224" s="91"/>
      <c r="CV224" s="91"/>
      <c r="CW224" s="91"/>
      <c r="CX224" s="91"/>
      <c r="CY224" s="91"/>
      <c r="CZ224" s="91"/>
      <c r="DA224" s="91"/>
      <c r="DB224" s="91"/>
      <c r="DC224" s="91"/>
      <c r="DD224" s="91"/>
      <c r="DE224" s="91"/>
      <c r="DF224" s="91"/>
      <c r="DG224" s="91"/>
      <c r="DH224" s="91"/>
      <c r="DI224" s="91"/>
      <c r="DJ224" s="91"/>
      <c r="DK224" s="91"/>
      <c r="DL224" s="91"/>
      <c r="DM224" s="91"/>
      <c r="DN224" s="91"/>
      <c r="DO224" s="91"/>
      <c r="DP224" s="91"/>
      <c r="DQ224" s="91"/>
      <c r="DR224" s="91"/>
      <c r="DS224" s="91"/>
      <c r="DT224" s="91"/>
      <c r="DU224" s="91"/>
      <c r="DV224" s="91"/>
      <c r="DW224" s="91"/>
      <c r="DX224" s="91"/>
      <c r="DY224" s="91"/>
      <c r="DZ224" s="91"/>
      <c r="EA224" s="91"/>
      <c r="EB224" s="91"/>
      <c r="EC224" s="91"/>
      <c r="ED224" s="91"/>
      <c r="EE224" s="91"/>
      <c r="EF224" s="91"/>
      <c r="EG224" s="91"/>
      <c r="EH224" s="91"/>
      <c r="EI224" s="91"/>
      <c r="EJ224" s="91"/>
      <c r="EK224" s="91"/>
      <c r="EL224" s="91"/>
      <c r="EM224" s="91"/>
      <c r="EN224" s="91"/>
      <c r="EO224" s="91"/>
      <c r="EP224" s="91"/>
      <c r="EQ224" s="91"/>
      <c r="ER224" s="91"/>
      <c r="ES224" s="91"/>
      <c r="ET224" s="91"/>
      <c r="EU224" s="91"/>
      <c r="EV224" s="91"/>
      <c r="EW224" s="91"/>
      <c r="EX224" s="91"/>
      <c r="EY224" s="91"/>
      <c r="EZ224" s="91"/>
      <c r="FA224" s="91"/>
      <c r="FB224" s="91"/>
      <c r="FC224" s="91"/>
      <c r="FD224" s="91"/>
      <c r="FE224" s="91"/>
      <c r="FF224" s="91"/>
      <c r="FG224" s="91"/>
      <c r="FH224" s="91"/>
      <c r="FI224" s="91"/>
      <c r="FJ224" s="91"/>
      <c r="FK224" s="91"/>
      <c r="FL224" s="91"/>
      <c r="FM224" s="91"/>
      <c r="FN224" s="91"/>
      <c r="FO224" s="91"/>
      <c r="FP224" s="91"/>
      <c r="FQ224" s="91"/>
      <c r="FR224" s="91"/>
      <c r="FS224" s="91"/>
      <c r="FT224" s="91"/>
      <c r="FU224" s="91"/>
      <c r="FV224" s="91"/>
    </row>
    <row r="225" spans="2:178" s="1" customFormat="1" ht="15.75">
      <c r="B225" s="358"/>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91"/>
      <c r="CI225" s="91"/>
      <c r="CJ225" s="91"/>
      <c r="CK225" s="91"/>
      <c r="CL225" s="91"/>
      <c r="CM225" s="91"/>
      <c r="CN225" s="91"/>
      <c r="CO225" s="91"/>
      <c r="CP225" s="91"/>
      <c r="CQ225" s="91"/>
      <c r="CR225" s="91"/>
      <c r="CS225" s="91"/>
      <c r="CT225" s="91"/>
      <c r="CU225" s="91"/>
      <c r="CV225" s="91"/>
      <c r="CW225" s="91"/>
      <c r="CX225" s="91"/>
      <c r="CY225" s="91"/>
      <c r="CZ225" s="91"/>
      <c r="DA225" s="91"/>
      <c r="DB225" s="91"/>
      <c r="DC225" s="91"/>
      <c r="DD225" s="91"/>
      <c r="DE225" s="91"/>
      <c r="DF225" s="91"/>
      <c r="DG225" s="91"/>
      <c r="DH225" s="91"/>
      <c r="DI225" s="91"/>
      <c r="DJ225" s="91"/>
      <c r="DK225" s="91"/>
      <c r="DL225" s="91"/>
      <c r="DM225" s="91"/>
      <c r="DN225" s="91"/>
      <c r="DO225" s="91"/>
      <c r="DP225" s="91"/>
      <c r="DQ225" s="91"/>
      <c r="DR225" s="91"/>
      <c r="DS225" s="91"/>
      <c r="DT225" s="91"/>
      <c r="DU225" s="91"/>
      <c r="DV225" s="91"/>
      <c r="DW225" s="91"/>
      <c r="DX225" s="91"/>
      <c r="DY225" s="91"/>
      <c r="DZ225" s="91"/>
      <c r="EA225" s="91"/>
      <c r="EB225" s="91"/>
      <c r="EC225" s="91"/>
      <c r="ED225" s="91"/>
      <c r="EE225" s="91"/>
      <c r="EF225" s="91"/>
      <c r="EG225" s="91"/>
      <c r="EH225" s="91"/>
      <c r="EI225" s="91"/>
      <c r="EJ225" s="91"/>
      <c r="EK225" s="91"/>
      <c r="EL225" s="91"/>
      <c r="EM225" s="91"/>
      <c r="EN225" s="91"/>
      <c r="EO225" s="91"/>
      <c r="EP225" s="91"/>
      <c r="EQ225" s="91"/>
      <c r="ER225" s="91"/>
      <c r="ES225" s="91"/>
      <c r="ET225" s="91"/>
      <c r="EU225" s="91"/>
      <c r="EV225" s="91"/>
      <c r="EW225" s="91"/>
      <c r="EX225" s="91"/>
      <c r="EY225" s="91"/>
      <c r="EZ225" s="91"/>
      <c r="FA225" s="91"/>
      <c r="FB225" s="91"/>
      <c r="FC225" s="91"/>
      <c r="FD225" s="91"/>
      <c r="FE225" s="91"/>
      <c r="FF225" s="91"/>
      <c r="FG225" s="91"/>
      <c r="FH225" s="91"/>
      <c r="FI225" s="91"/>
      <c r="FJ225" s="91"/>
      <c r="FK225" s="91"/>
      <c r="FL225" s="91"/>
      <c r="FM225" s="91"/>
      <c r="FN225" s="91"/>
      <c r="FO225" s="91"/>
      <c r="FP225" s="91"/>
      <c r="FQ225" s="91"/>
      <c r="FR225" s="91"/>
      <c r="FS225" s="91"/>
      <c r="FT225" s="91"/>
      <c r="FU225" s="91"/>
      <c r="FV225" s="91"/>
    </row>
    <row r="226" spans="2:178" s="1" customFormat="1" ht="15.75">
      <c r="B226" s="358"/>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91"/>
      <c r="CI226" s="91"/>
      <c r="CJ226" s="91"/>
      <c r="CK226" s="91"/>
      <c r="CL226" s="91"/>
      <c r="CM226" s="91"/>
      <c r="CN226" s="91"/>
      <c r="CO226" s="91"/>
      <c r="CP226" s="91"/>
      <c r="CQ226" s="91"/>
      <c r="CR226" s="91"/>
      <c r="CS226" s="91"/>
      <c r="CT226" s="91"/>
      <c r="CU226" s="91"/>
      <c r="CV226" s="91"/>
      <c r="CW226" s="91"/>
      <c r="CX226" s="91"/>
      <c r="CY226" s="91"/>
      <c r="CZ226" s="91"/>
      <c r="DA226" s="91"/>
      <c r="DB226" s="91"/>
      <c r="DC226" s="91"/>
      <c r="DD226" s="91"/>
      <c r="DE226" s="91"/>
      <c r="DF226" s="91"/>
      <c r="DG226" s="91"/>
      <c r="DH226" s="91"/>
      <c r="DI226" s="91"/>
      <c r="DJ226" s="91"/>
      <c r="DK226" s="91"/>
      <c r="DL226" s="91"/>
      <c r="DM226" s="91"/>
      <c r="DN226" s="91"/>
      <c r="DO226" s="91"/>
      <c r="DP226" s="91"/>
      <c r="DQ226" s="91"/>
      <c r="DR226" s="91"/>
      <c r="DS226" s="91"/>
      <c r="DT226" s="91"/>
      <c r="DU226" s="91"/>
      <c r="DV226" s="91"/>
      <c r="DW226" s="91"/>
      <c r="DX226" s="91"/>
      <c r="DY226" s="91"/>
      <c r="DZ226" s="91"/>
      <c r="EA226" s="91"/>
      <c r="EB226" s="91"/>
      <c r="EC226" s="91"/>
      <c r="ED226" s="91"/>
      <c r="EE226" s="91"/>
      <c r="EF226" s="91"/>
      <c r="EG226" s="91"/>
      <c r="EH226" s="91"/>
      <c r="EI226" s="91"/>
      <c r="EJ226" s="91"/>
      <c r="EK226" s="91"/>
      <c r="EL226" s="91"/>
      <c r="EM226" s="91"/>
      <c r="EN226" s="91"/>
      <c r="EO226" s="91"/>
      <c r="EP226" s="91"/>
      <c r="EQ226" s="91"/>
      <c r="ER226" s="91"/>
      <c r="ES226" s="91"/>
      <c r="ET226" s="91"/>
      <c r="EU226" s="91"/>
      <c r="EV226" s="91"/>
      <c r="EW226" s="91"/>
      <c r="EX226" s="91"/>
      <c r="EY226" s="91"/>
      <c r="EZ226" s="91"/>
      <c r="FA226" s="91"/>
      <c r="FB226" s="91"/>
      <c r="FC226" s="91"/>
      <c r="FD226" s="91"/>
      <c r="FE226" s="91"/>
      <c r="FF226" s="91"/>
      <c r="FG226" s="91"/>
      <c r="FH226" s="91"/>
      <c r="FI226" s="91"/>
      <c r="FJ226" s="91"/>
      <c r="FK226" s="91"/>
      <c r="FL226" s="91"/>
      <c r="FM226" s="91"/>
      <c r="FN226" s="91"/>
      <c r="FO226" s="91"/>
      <c r="FP226" s="91"/>
      <c r="FQ226" s="91"/>
      <c r="FR226" s="91"/>
      <c r="FS226" s="91"/>
      <c r="FT226" s="91"/>
      <c r="FU226" s="91"/>
      <c r="FV226" s="91"/>
    </row>
    <row r="227" spans="2:178" s="1" customFormat="1" ht="15.75">
      <c r="B227" s="358"/>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91"/>
      <c r="CI227" s="91"/>
      <c r="CJ227" s="91"/>
      <c r="CK227" s="91"/>
      <c r="CL227" s="91"/>
      <c r="CM227" s="91"/>
      <c r="CN227" s="91"/>
      <c r="CO227" s="91"/>
      <c r="CP227" s="91"/>
      <c r="CQ227" s="91"/>
      <c r="CR227" s="91"/>
      <c r="CS227" s="91"/>
      <c r="CT227" s="91"/>
      <c r="CU227" s="91"/>
      <c r="CV227" s="91"/>
      <c r="CW227" s="91"/>
      <c r="CX227" s="91"/>
      <c r="CY227" s="91"/>
      <c r="CZ227" s="91"/>
      <c r="DA227" s="91"/>
      <c r="DB227" s="91"/>
      <c r="DC227" s="91"/>
      <c r="DD227" s="91"/>
      <c r="DE227" s="91"/>
      <c r="DF227" s="91"/>
      <c r="DG227" s="91"/>
      <c r="DH227" s="91"/>
      <c r="DI227" s="91"/>
      <c r="DJ227" s="91"/>
      <c r="DK227" s="91"/>
      <c r="DL227" s="91"/>
      <c r="DM227" s="91"/>
      <c r="DN227" s="91"/>
      <c r="DO227" s="91"/>
      <c r="DP227" s="91"/>
      <c r="DQ227" s="91"/>
      <c r="DR227" s="91"/>
      <c r="DS227" s="91"/>
      <c r="DT227" s="91"/>
      <c r="DU227" s="91"/>
      <c r="DV227" s="91"/>
      <c r="DW227" s="91"/>
      <c r="DX227" s="91"/>
      <c r="DY227" s="91"/>
      <c r="DZ227" s="91"/>
      <c r="EA227" s="91"/>
      <c r="EB227" s="91"/>
      <c r="EC227" s="91"/>
      <c r="ED227" s="91"/>
      <c r="EE227" s="91"/>
      <c r="EF227" s="91"/>
      <c r="EG227" s="91"/>
      <c r="EH227" s="91"/>
      <c r="EI227" s="91"/>
      <c r="EJ227" s="91"/>
      <c r="EK227" s="91"/>
      <c r="EL227" s="91"/>
      <c r="EM227" s="91"/>
      <c r="EN227" s="91"/>
      <c r="EO227" s="91"/>
      <c r="EP227" s="91"/>
      <c r="EQ227" s="91"/>
      <c r="ER227" s="91"/>
      <c r="ES227" s="91"/>
      <c r="ET227" s="91"/>
      <c r="EU227" s="91"/>
      <c r="EV227" s="91"/>
      <c r="EW227" s="91"/>
      <c r="EX227" s="91"/>
      <c r="EY227" s="91"/>
      <c r="EZ227" s="91"/>
      <c r="FA227" s="91"/>
      <c r="FB227" s="91"/>
      <c r="FC227" s="91"/>
      <c r="FD227" s="91"/>
      <c r="FE227" s="91"/>
      <c r="FF227" s="91"/>
      <c r="FG227" s="91"/>
      <c r="FH227" s="91"/>
      <c r="FI227" s="91"/>
      <c r="FJ227" s="91"/>
      <c r="FK227" s="91"/>
      <c r="FL227" s="91"/>
      <c r="FM227" s="91"/>
      <c r="FN227" s="91"/>
      <c r="FO227" s="91"/>
      <c r="FP227" s="91"/>
      <c r="FQ227" s="91"/>
      <c r="FR227" s="91"/>
      <c r="FS227" s="91"/>
      <c r="FT227" s="91"/>
      <c r="FU227" s="91"/>
      <c r="FV227" s="91"/>
    </row>
    <row r="228" spans="2:178" s="1" customFormat="1" ht="15.75">
      <c r="B228" s="358"/>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91"/>
      <c r="CI228" s="91"/>
      <c r="CJ228" s="91"/>
      <c r="CK228" s="91"/>
      <c r="CL228" s="91"/>
      <c r="CM228" s="91"/>
      <c r="CN228" s="91"/>
      <c r="CO228" s="91"/>
      <c r="CP228" s="91"/>
      <c r="CQ228" s="91"/>
      <c r="CR228" s="91"/>
      <c r="CS228" s="91"/>
      <c r="CT228" s="91"/>
      <c r="CU228" s="91"/>
      <c r="CV228" s="91"/>
      <c r="CW228" s="91"/>
      <c r="CX228" s="91"/>
      <c r="CY228" s="91"/>
      <c r="CZ228" s="91"/>
      <c r="DA228" s="91"/>
      <c r="DB228" s="91"/>
      <c r="DC228" s="91"/>
      <c r="DD228" s="91"/>
      <c r="DE228" s="91"/>
      <c r="DF228" s="91"/>
      <c r="DG228" s="91"/>
      <c r="DH228" s="91"/>
      <c r="DI228" s="91"/>
      <c r="DJ228" s="91"/>
      <c r="DK228" s="91"/>
      <c r="DL228" s="91"/>
      <c r="DM228" s="91"/>
      <c r="DN228" s="91"/>
      <c r="DO228" s="91"/>
      <c r="DP228" s="91"/>
      <c r="DQ228" s="91"/>
      <c r="DR228" s="91"/>
      <c r="DS228" s="91"/>
      <c r="DT228" s="91"/>
      <c r="DU228" s="91"/>
      <c r="DV228" s="91"/>
      <c r="DW228" s="91"/>
      <c r="DX228" s="91"/>
      <c r="DY228" s="91"/>
      <c r="DZ228" s="91"/>
      <c r="EA228" s="91"/>
      <c r="EB228" s="91"/>
      <c r="EC228" s="91"/>
      <c r="ED228" s="91"/>
      <c r="EE228" s="91"/>
      <c r="EF228" s="91"/>
      <c r="EG228" s="91"/>
      <c r="EH228" s="91"/>
      <c r="EI228" s="91"/>
      <c r="EJ228" s="91"/>
      <c r="EK228" s="91"/>
      <c r="EL228" s="91"/>
      <c r="EM228" s="91"/>
      <c r="EN228" s="91"/>
      <c r="EO228" s="91"/>
      <c r="EP228" s="91"/>
      <c r="EQ228" s="91"/>
      <c r="ER228" s="91"/>
      <c r="ES228" s="91"/>
      <c r="ET228" s="91"/>
      <c r="EU228" s="91"/>
      <c r="EV228" s="91"/>
      <c r="EW228" s="91"/>
      <c r="EX228" s="91"/>
      <c r="EY228" s="91"/>
      <c r="EZ228" s="91"/>
      <c r="FA228" s="91"/>
      <c r="FB228" s="91"/>
      <c r="FC228" s="91"/>
      <c r="FD228" s="91"/>
      <c r="FE228" s="91"/>
      <c r="FF228" s="91"/>
      <c r="FG228" s="91"/>
      <c r="FH228" s="91"/>
      <c r="FI228" s="91"/>
      <c r="FJ228" s="91"/>
      <c r="FK228" s="91"/>
      <c r="FL228" s="91"/>
      <c r="FM228" s="91"/>
      <c r="FN228" s="91"/>
      <c r="FO228" s="91"/>
      <c r="FP228" s="91"/>
      <c r="FQ228" s="91"/>
      <c r="FR228" s="91"/>
      <c r="FS228" s="91"/>
      <c r="FT228" s="91"/>
      <c r="FU228" s="91"/>
      <c r="FV228" s="91"/>
    </row>
    <row r="229" spans="2:178" s="1" customFormat="1" ht="15.75">
      <c r="B229" s="358"/>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91"/>
      <c r="CI229" s="91"/>
      <c r="CJ229" s="91"/>
      <c r="CK229" s="91"/>
      <c r="CL229" s="91"/>
      <c r="CM229" s="91"/>
      <c r="CN229" s="91"/>
      <c r="CO229" s="91"/>
      <c r="CP229" s="91"/>
      <c r="CQ229" s="91"/>
      <c r="CR229" s="91"/>
      <c r="CS229" s="91"/>
      <c r="CT229" s="91"/>
      <c r="CU229" s="91"/>
      <c r="CV229" s="91"/>
      <c r="CW229" s="91"/>
      <c r="CX229" s="91"/>
      <c r="CY229" s="91"/>
      <c r="CZ229" s="91"/>
      <c r="DA229" s="91"/>
      <c r="DB229" s="91"/>
      <c r="DC229" s="91"/>
      <c r="DD229" s="91"/>
      <c r="DE229" s="91"/>
      <c r="DF229" s="91"/>
      <c r="DG229" s="91"/>
      <c r="DH229" s="91"/>
      <c r="DI229" s="91"/>
      <c r="DJ229" s="91"/>
      <c r="DK229" s="91"/>
      <c r="DL229" s="91"/>
      <c r="DM229" s="91"/>
      <c r="DN229" s="91"/>
      <c r="DO229" s="91"/>
      <c r="DP229" s="91"/>
      <c r="DQ229" s="91"/>
      <c r="DR229" s="91"/>
      <c r="DS229" s="91"/>
      <c r="DT229" s="91"/>
      <c r="DU229" s="91"/>
      <c r="DV229" s="91"/>
      <c r="DW229" s="91"/>
      <c r="DX229" s="91"/>
      <c r="DY229" s="91"/>
      <c r="DZ229" s="91"/>
      <c r="EA229" s="91"/>
      <c r="EB229" s="91"/>
      <c r="EC229" s="91"/>
      <c r="ED229" s="91"/>
      <c r="EE229" s="91"/>
      <c r="EF229" s="91"/>
      <c r="EG229" s="91"/>
      <c r="EH229" s="91"/>
      <c r="EI229" s="91"/>
      <c r="EJ229" s="91"/>
      <c r="EK229" s="91"/>
      <c r="EL229" s="91"/>
      <c r="EM229" s="91"/>
      <c r="EN229" s="91"/>
      <c r="EO229" s="91"/>
      <c r="EP229" s="91"/>
      <c r="EQ229" s="91"/>
      <c r="ER229" s="91"/>
      <c r="ES229" s="91"/>
      <c r="ET229" s="91"/>
      <c r="EU229" s="91"/>
      <c r="EV229" s="91"/>
      <c r="EW229" s="91"/>
      <c r="EX229" s="91"/>
      <c r="EY229" s="91"/>
      <c r="EZ229" s="91"/>
      <c r="FA229" s="91"/>
      <c r="FB229" s="91"/>
      <c r="FC229" s="91"/>
      <c r="FD229" s="91"/>
      <c r="FE229" s="91"/>
      <c r="FF229" s="91"/>
      <c r="FG229" s="91"/>
      <c r="FH229" s="91"/>
      <c r="FI229" s="91"/>
      <c r="FJ229" s="91"/>
      <c r="FK229" s="91"/>
      <c r="FL229" s="91"/>
      <c r="FM229" s="91"/>
      <c r="FN229" s="91"/>
      <c r="FO229" s="91"/>
      <c r="FP229" s="91"/>
      <c r="FQ229" s="91"/>
      <c r="FR229" s="91"/>
      <c r="FS229" s="91"/>
      <c r="FT229" s="91"/>
      <c r="FU229" s="91"/>
      <c r="FV229" s="91"/>
    </row>
    <row r="230" spans="2:178" s="1" customFormat="1" ht="15.75">
      <c r="B230" s="358"/>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91"/>
      <c r="BX230" s="91"/>
      <c r="BY230" s="91"/>
      <c r="BZ230" s="91"/>
      <c r="CA230" s="91"/>
      <c r="CB230" s="91"/>
      <c r="CC230" s="91"/>
      <c r="CD230" s="91"/>
      <c r="CE230" s="91"/>
      <c r="CF230" s="91"/>
      <c r="CG230" s="91"/>
      <c r="CH230" s="91"/>
      <c r="CI230" s="91"/>
      <c r="CJ230" s="91"/>
      <c r="CK230" s="91"/>
      <c r="CL230" s="91"/>
      <c r="CM230" s="91"/>
      <c r="CN230" s="91"/>
      <c r="CO230" s="91"/>
      <c r="CP230" s="91"/>
      <c r="CQ230" s="91"/>
      <c r="CR230" s="91"/>
      <c r="CS230" s="91"/>
      <c r="CT230" s="91"/>
      <c r="CU230" s="91"/>
      <c r="CV230" s="91"/>
      <c r="CW230" s="91"/>
      <c r="CX230" s="91"/>
      <c r="CY230" s="91"/>
      <c r="CZ230" s="91"/>
      <c r="DA230" s="91"/>
      <c r="DB230" s="91"/>
      <c r="DC230" s="91"/>
      <c r="DD230" s="91"/>
      <c r="DE230" s="91"/>
      <c r="DF230" s="91"/>
      <c r="DG230" s="91"/>
      <c r="DH230" s="91"/>
      <c r="DI230" s="91"/>
      <c r="DJ230" s="91"/>
      <c r="DK230" s="91"/>
      <c r="DL230" s="91"/>
      <c r="DM230" s="91"/>
      <c r="DN230" s="91"/>
      <c r="DO230" s="91"/>
      <c r="DP230" s="91"/>
      <c r="DQ230" s="91"/>
      <c r="DR230" s="91"/>
      <c r="DS230" s="91"/>
      <c r="DT230" s="91"/>
      <c r="DU230" s="91"/>
      <c r="DV230" s="91"/>
      <c r="DW230" s="91"/>
      <c r="DX230" s="91"/>
      <c r="DY230" s="91"/>
      <c r="DZ230" s="91"/>
      <c r="EA230" s="91"/>
      <c r="EB230" s="91"/>
      <c r="EC230" s="91"/>
      <c r="ED230" s="91"/>
      <c r="EE230" s="91"/>
      <c r="EF230" s="91"/>
      <c r="EG230" s="91"/>
      <c r="EH230" s="91"/>
      <c r="EI230" s="91"/>
      <c r="EJ230" s="91"/>
      <c r="EK230" s="91"/>
      <c r="EL230" s="91"/>
      <c r="EM230" s="91"/>
      <c r="EN230" s="91"/>
      <c r="EO230" s="91"/>
      <c r="EP230" s="91"/>
      <c r="EQ230" s="91"/>
      <c r="ER230" s="91"/>
      <c r="ES230" s="91"/>
      <c r="ET230" s="91"/>
      <c r="EU230" s="91"/>
      <c r="EV230" s="91"/>
      <c r="EW230" s="91"/>
      <c r="EX230" s="91"/>
      <c r="EY230" s="91"/>
      <c r="EZ230" s="91"/>
      <c r="FA230" s="91"/>
      <c r="FB230" s="91"/>
      <c r="FC230" s="91"/>
      <c r="FD230" s="91"/>
      <c r="FE230" s="91"/>
      <c r="FF230" s="91"/>
      <c r="FG230" s="91"/>
      <c r="FH230" s="91"/>
      <c r="FI230" s="91"/>
      <c r="FJ230" s="91"/>
      <c r="FK230" s="91"/>
      <c r="FL230" s="91"/>
      <c r="FM230" s="91"/>
      <c r="FN230" s="91"/>
      <c r="FO230" s="91"/>
      <c r="FP230" s="91"/>
      <c r="FQ230" s="91"/>
      <c r="FR230" s="91"/>
      <c r="FS230" s="91"/>
      <c r="FT230" s="91"/>
      <c r="FU230" s="91"/>
      <c r="FV230" s="91"/>
    </row>
    <row r="231" spans="2:178" s="1" customFormat="1" ht="15.75">
      <c r="B231" s="358"/>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91"/>
      <c r="BX231" s="91"/>
      <c r="BY231" s="91"/>
      <c r="BZ231" s="91"/>
      <c r="CA231" s="91"/>
      <c r="CB231" s="91"/>
      <c r="CC231" s="91"/>
      <c r="CD231" s="91"/>
      <c r="CE231" s="91"/>
      <c r="CF231" s="91"/>
      <c r="CG231" s="91"/>
      <c r="CH231" s="91"/>
      <c r="CI231" s="91"/>
      <c r="CJ231" s="91"/>
      <c r="CK231" s="91"/>
      <c r="CL231" s="91"/>
      <c r="CM231" s="91"/>
      <c r="CN231" s="91"/>
      <c r="CO231" s="91"/>
      <c r="CP231" s="91"/>
      <c r="CQ231" s="91"/>
      <c r="CR231" s="91"/>
      <c r="CS231" s="91"/>
      <c r="CT231" s="91"/>
      <c r="CU231" s="91"/>
      <c r="CV231" s="91"/>
      <c r="CW231" s="91"/>
      <c r="CX231" s="91"/>
      <c r="CY231" s="91"/>
      <c r="CZ231" s="91"/>
      <c r="DA231" s="91"/>
      <c r="DB231" s="91"/>
      <c r="DC231" s="91"/>
      <c r="DD231" s="91"/>
      <c r="DE231" s="91"/>
      <c r="DF231" s="91"/>
      <c r="DG231" s="91"/>
      <c r="DH231" s="91"/>
      <c r="DI231" s="91"/>
      <c r="DJ231" s="91"/>
      <c r="DK231" s="91"/>
      <c r="DL231" s="91"/>
      <c r="DM231" s="91"/>
      <c r="DN231" s="91"/>
      <c r="DO231" s="91"/>
      <c r="DP231" s="91"/>
      <c r="DQ231" s="91"/>
      <c r="DR231" s="91"/>
      <c r="DS231" s="91"/>
      <c r="DT231" s="91"/>
      <c r="DU231" s="91"/>
      <c r="DV231" s="91"/>
      <c r="DW231" s="91"/>
      <c r="DX231" s="91"/>
      <c r="DY231" s="91"/>
      <c r="DZ231" s="91"/>
      <c r="EA231" s="91"/>
      <c r="EB231" s="91"/>
      <c r="EC231" s="91"/>
      <c r="ED231" s="91"/>
      <c r="EE231" s="91"/>
      <c r="EF231" s="91"/>
      <c r="EG231" s="91"/>
      <c r="EH231" s="91"/>
      <c r="EI231" s="91"/>
      <c r="EJ231" s="91"/>
      <c r="EK231" s="91"/>
      <c r="EL231" s="91"/>
      <c r="EM231" s="91"/>
      <c r="EN231" s="91"/>
      <c r="EO231" s="91"/>
      <c r="EP231" s="91"/>
      <c r="EQ231" s="91"/>
      <c r="ER231" s="91"/>
      <c r="ES231" s="91"/>
      <c r="ET231" s="91"/>
      <c r="EU231" s="91"/>
      <c r="EV231" s="91"/>
      <c r="EW231" s="91"/>
      <c r="EX231" s="91"/>
      <c r="EY231" s="91"/>
      <c r="EZ231" s="91"/>
      <c r="FA231" s="91"/>
      <c r="FB231" s="91"/>
      <c r="FC231" s="91"/>
      <c r="FD231" s="91"/>
      <c r="FE231" s="91"/>
      <c r="FF231" s="91"/>
      <c r="FG231" s="91"/>
      <c r="FH231" s="91"/>
      <c r="FI231" s="91"/>
      <c r="FJ231" s="91"/>
      <c r="FK231" s="91"/>
      <c r="FL231" s="91"/>
      <c r="FM231" s="91"/>
      <c r="FN231" s="91"/>
      <c r="FO231" s="91"/>
      <c r="FP231" s="91"/>
      <c r="FQ231" s="91"/>
      <c r="FR231" s="91"/>
      <c r="FS231" s="91"/>
      <c r="FT231" s="91"/>
      <c r="FU231" s="91"/>
      <c r="FV231" s="91"/>
    </row>
    <row r="232" spans="2:178" s="1" customFormat="1" ht="15.75">
      <c r="B232" s="358"/>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91"/>
      <c r="CI232" s="91"/>
      <c r="CJ232" s="91"/>
      <c r="CK232" s="91"/>
      <c r="CL232" s="91"/>
      <c r="CM232" s="91"/>
      <c r="CN232" s="91"/>
      <c r="CO232" s="91"/>
      <c r="CP232" s="91"/>
      <c r="CQ232" s="91"/>
      <c r="CR232" s="91"/>
      <c r="CS232" s="91"/>
      <c r="CT232" s="91"/>
      <c r="CU232" s="91"/>
      <c r="CV232" s="91"/>
      <c r="CW232" s="91"/>
      <c r="CX232" s="91"/>
      <c r="CY232" s="91"/>
      <c r="CZ232" s="91"/>
      <c r="DA232" s="91"/>
      <c r="DB232" s="91"/>
      <c r="DC232" s="91"/>
      <c r="DD232" s="91"/>
      <c r="DE232" s="91"/>
      <c r="DF232" s="91"/>
      <c r="DG232" s="91"/>
      <c r="DH232" s="91"/>
      <c r="DI232" s="91"/>
      <c r="DJ232" s="91"/>
      <c r="DK232" s="91"/>
      <c r="DL232" s="91"/>
      <c r="DM232" s="91"/>
      <c r="DN232" s="91"/>
      <c r="DO232" s="91"/>
      <c r="DP232" s="91"/>
      <c r="DQ232" s="91"/>
      <c r="DR232" s="91"/>
      <c r="DS232" s="91"/>
      <c r="DT232" s="91"/>
      <c r="DU232" s="91"/>
      <c r="DV232" s="91"/>
      <c r="DW232" s="91"/>
      <c r="DX232" s="91"/>
      <c r="DY232" s="91"/>
      <c r="DZ232" s="91"/>
      <c r="EA232" s="91"/>
      <c r="EB232" s="91"/>
      <c r="EC232" s="91"/>
      <c r="ED232" s="91"/>
      <c r="EE232" s="91"/>
      <c r="EF232" s="91"/>
      <c r="EG232" s="91"/>
      <c r="EH232" s="91"/>
      <c r="EI232" s="91"/>
      <c r="EJ232" s="91"/>
      <c r="EK232" s="91"/>
      <c r="EL232" s="91"/>
      <c r="EM232" s="91"/>
      <c r="EN232" s="91"/>
      <c r="EO232" s="91"/>
      <c r="EP232" s="91"/>
      <c r="EQ232" s="91"/>
      <c r="ER232" s="91"/>
      <c r="ES232" s="91"/>
      <c r="ET232" s="91"/>
      <c r="EU232" s="91"/>
      <c r="EV232" s="91"/>
      <c r="EW232" s="91"/>
      <c r="EX232" s="91"/>
      <c r="EY232" s="91"/>
      <c r="EZ232" s="91"/>
      <c r="FA232" s="91"/>
      <c r="FB232" s="91"/>
      <c r="FC232" s="91"/>
      <c r="FD232" s="91"/>
      <c r="FE232" s="91"/>
      <c r="FF232" s="91"/>
      <c r="FG232" s="91"/>
      <c r="FH232" s="91"/>
      <c r="FI232" s="91"/>
      <c r="FJ232" s="91"/>
      <c r="FK232" s="91"/>
      <c r="FL232" s="91"/>
      <c r="FM232" s="91"/>
      <c r="FN232" s="91"/>
      <c r="FO232" s="91"/>
      <c r="FP232" s="91"/>
      <c r="FQ232" s="91"/>
      <c r="FR232" s="91"/>
      <c r="FS232" s="91"/>
      <c r="FT232" s="91"/>
      <c r="FU232" s="91"/>
      <c r="FV232" s="91"/>
    </row>
    <row r="233" spans="2:178" s="1" customFormat="1" ht="15.75">
      <c r="B233" s="358"/>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91"/>
      <c r="CI233" s="91"/>
      <c r="CJ233" s="91"/>
      <c r="CK233" s="91"/>
      <c r="CL233" s="91"/>
      <c r="CM233" s="91"/>
      <c r="CN233" s="91"/>
      <c r="CO233" s="91"/>
      <c r="CP233" s="91"/>
      <c r="CQ233" s="91"/>
      <c r="CR233" s="91"/>
      <c r="CS233" s="91"/>
      <c r="CT233" s="91"/>
      <c r="CU233" s="91"/>
      <c r="CV233" s="91"/>
      <c r="CW233" s="91"/>
      <c r="CX233" s="91"/>
      <c r="CY233" s="91"/>
      <c r="CZ233" s="91"/>
      <c r="DA233" s="91"/>
      <c r="DB233" s="91"/>
      <c r="DC233" s="91"/>
      <c r="DD233" s="91"/>
      <c r="DE233" s="91"/>
      <c r="DF233" s="91"/>
      <c r="DG233" s="91"/>
      <c r="DH233" s="91"/>
      <c r="DI233" s="91"/>
      <c r="DJ233" s="91"/>
      <c r="DK233" s="91"/>
      <c r="DL233" s="91"/>
      <c r="DM233" s="91"/>
      <c r="DN233" s="91"/>
      <c r="DO233" s="91"/>
      <c r="DP233" s="91"/>
      <c r="DQ233" s="91"/>
      <c r="DR233" s="91"/>
      <c r="DS233" s="91"/>
      <c r="DT233" s="91"/>
      <c r="DU233" s="91"/>
      <c r="DV233" s="91"/>
      <c r="DW233" s="91"/>
      <c r="DX233" s="91"/>
      <c r="DY233" s="91"/>
      <c r="DZ233" s="91"/>
      <c r="EA233" s="91"/>
      <c r="EB233" s="91"/>
      <c r="EC233" s="91"/>
      <c r="ED233" s="91"/>
      <c r="EE233" s="91"/>
      <c r="EF233" s="91"/>
      <c r="EG233" s="91"/>
      <c r="EH233" s="91"/>
      <c r="EI233" s="91"/>
      <c r="EJ233" s="91"/>
      <c r="EK233" s="91"/>
      <c r="EL233" s="91"/>
      <c r="EM233" s="91"/>
      <c r="EN233" s="91"/>
      <c r="EO233" s="91"/>
      <c r="EP233" s="91"/>
      <c r="EQ233" s="91"/>
      <c r="ER233" s="91"/>
      <c r="ES233" s="91"/>
      <c r="ET233" s="91"/>
      <c r="EU233" s="91"/>
      <c r="EV233" s="91"/>
      <c r="EW233" s="91"/>
      <c r="EX233" s="91"/>
      <c r="EY233" s="91"/>
      <c r="EZ233" s="91"/>
      <c r="FA233" s="91"/>
      <c r="FB233" s="91"/>
      <c r="FC233" s="91"/>
      <c r="FD233" s="91"/>
      <c r="FE233" s="91"/>
      <c r="FF233" s="91"/>
      <c r="FG233" s="91"/>
      <c r="FH233" s="91"/>
      <c r="FI233" s="91"/>
      <c r="FJ233" s="91"/>
      <c r="FK233" s="91"/>
      <c r="FL233" s="91"/>
      <c r="FM233" s="91"/>
      <c r="FN233" s="91"/>
      <c r="FO233" s="91"/>
      <c r="FP233" s="91"/>
      <c r="FQ233" s="91"/>
      <c r="FR233" s="91"/>
      <c r="FS233" s="91"/>
      <c r="FT233" s="91"/>
      <c r="FU233" s="91"/>
      <c r="FV233" s="91"/>
    </row>
    <row r="234" spans="2:178" s="1" customFormat="1" ht="15.75">
      <c r="B234" s="358"/>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91"/>
      <c r="CI234" s="91"/>
      <c r="CJ234" s="91"/>
      <c r="CK234" s="91"/>
      <c r="CL234" s="91"/>
      <c r="CM234" s="91"/>
      <c r="CN234" s="91"/>
      <c r="CO234" s="91"/>
      <c r="CP234" s="91"/>
      <c r="CQ234" s="91"/>
      <c r="CR234" s="91"/>
      <c r="CS234" s="91"/>
      <c r="CT234" s="91"/>
      <c r="CU234" s="91"/>
      <c r="CV234" s="91"/>
      <c r="CW234" s="91"/>
      <c r="CX234" s="91"/>
      <c r="CY234" s="91"/>
      <c r="CZ234" s="91"/>
      <c r="DA234" s="91"/>
      <c r="DB234" s="91"/>
      <c r="DC234" s="91"/>
      <c r="DD234" s="91"/>
      <c r="DE234" s="91"/>
      <c r="DF234" s="91"/>
      <c r="DG234" s="91"/>
      <c r="DH234" s="91"/>
      <c r="DI234" s="91"/>
      <c r="DJ234" s="91"/>
      <c r="DK234" s="91"/>
      <c r="DL234" s="91"/>
      <c r="DM234" s="91"/>
      <c r="DN234" s="91"/>
      <c r="DO234" s="91"/>
      <c r="DP234" s="91"/>
      <c r="DQ234" s="91"/>
      <c r="DR234" s="91"/>
      <c r="DS234" s="91"/>
      <c r="DT234" s="91"/>
      <c r="DU234" s="91"/>
      <c r="DV234" s="91"/>
      <c r="DW234" s="91"/>
      <c r="DX234" s="91"/>
      <c r="DY234" s="91"/>
      <c r="DZ234" s="91"/>
      <c r="EA234" s="91"/>
      <c r="EB234" s="91"/>
      <c r="EC234" s="91"/>
      <c r="ED234" s="91"/>
      <c r="EE234" s="91"/>
      <c r="EF234" s="91"/>
      <c r="EG234" s="91"/>
      <c r="EH234" s="91"/>
      <c r="EI234" s="91"/>
      <c r="EJ234" s="91"/>
      <c r="EK234" s="91"/>
      <c r="EL234" s="91"/>
      <c r="EM234" s="91"/>
      <c r="EN234" s="91"/>
      <c r="EO234" s="91"/>
      <c r="EP234" s="91"/>
      <c r="EQ234" s="91"/>
      <c r="ER234" s="91"/>
      <c r="ES234" s="91"/>
      <c r="ET234" s="91"/>
      <c r="EU234" s="91"/>
      <c r="EV234" s="91"/>
      <c r="EW234" s="91"/>
      <c r="EX234" s="91"/>
      <c r="EY234" s="91"/>
      <c r="EZ234" s="91"/>
      <c r="FA234" s="91"/>
      <c r="FB234" s="91"/>
      <c r="FC234" s="91"/>
      <c r="FD234" s="91"/>
      <c r="FE234" s="91"/>
      <c r="FF234" s="91"/>
      <c r="FG234" s="91"/>
      <c r="FH234" s="91"/>
      <c r="FI234" s="91"/>
      <c r="FJ234" s="91"/>
      <c r="FK234" s="91"/>
      <c r="FL234" s="91"/>
      <c r="FM234" s="91"/>
      <c r="FN234" s="91"/>
      <c r="FO234" s="91"/>
      <c r="FP234" s="91"/>
      <c r="FQ234" s="91"/>
      <c r="FR234" s="91"/>
      <c r="FS234" s="91"/>
      <c r="FT234" s="91"/>
      <c r="FU234" s="91"/>
      <c r="FV234" s="91"/>
    </row>
    <row r="235" spans="2:178" s="1" customFormat="1" ht="15.75">
      <c r="B235" s="358"/>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91"/>
      <c r="CI235" s="91"/>
      <c r="CJ235" s="91"/>
      <c r="CK235" s="91"/>
      <c r="CL235" s="91"/>
      <c r="CM235" s="91"/>
      <c r="CN235" s="91"/>
      <c r="CO235" s="91"/>
      <c r="CP235" s="91"/>
      <c r="CQ235" s="91"/>
      <c r="CR235" s="91"/>
      <c r="CS235" s="91"/>
      <c r="CT235" s="91"/>
      <c r="CU235" s="91"/>
      <c r="CV235" s="91"/>
      <c r="CW235" s="91"/>
      <c r="CX235" s="91"/>
      <c r="CY235" s="91"/>
      <c r="CZ235" s="91"/>
      <c r="DA235" s="91"/>
      <c r="DB235" s="91"/>
      <c r="DC235" s="91"/>
      <c r="DD235" s="91"/>
      <c r="DE235" s="91"/>
      <c r="DF235" s="91"/>
      <c r="DG235" s="91"/>
      <c r="DH235" s="91"/>
      <c r="DI235" s="91"/>
      <c r="DJ235" s="91"/>
      <c r="DK235" s="91"/>
      <c r="DL235" s="91"/>
      <c r="DM235" s="91"/>
      <c r="DN235" s="91"/>
      <c r="DO235" s="91"/>
      <c r="DP235" s="91"/>
      <c r="DQ235" s="91"/>
      <c r="DR235" s="91"/>
      <c r="DS235" s="91"/>
      <c r="DT235" s="91"/>
      <c r="DU235" s="91"/>
      <c r="DV235" s="91"/>
      <c r="DW235" s="91"/>
      <c r="DX235" s="91"/>
      <c r="DY235" s="91"/>
      <c r="DZ235" s="91"/>
      <c r="EA235" s="91"/>
      <c r="EB235" s="91"/>
      <c r="EC235" s="91"/>
      <c r="ED235" s="91"/>
      <c r="EE235" s="91"/>
      <c r="EF235" s="91"/>
      <c r="EG235" s="91"/>
      <c r="EH235" s="91"/>
      <c r="EI235" s="91"/>
      <c r="EJ235" s="91"/>
      <c r="EK235" s="91"/>
      <c r="EL235" s="91"/>
      <c r="EM235" s="91"/>
      <c r="EN235" s="91"/>
      <c r="EO235" s="91"/>
      <c r="EP235" s="91"/>
      <c r="EQ235" s="91"/>
      <c r="ER235" s="91"/>
      <c r="ES235" s="91"/>
      <c r="ET235" s="91"/>
      <c r="EU235" s="91"/>
      <c r="EV235" s="91"/>
      <c r="EW235" s="91"/>
      <c r="EX235" s="91"/>
      <c r="EY235" s="91"/>
      <c r="EZ235" s="91"/>
      <c r="FA235" s="91"/>
      <c r="FB235" s="91"/>
      <c r="FC235" s="91"/>
      <c r="FD235" s="91"/>
      <c r="FE235" s="91"/>
      <c r="FF235" s="91"/>
      <c r="FG235" s="91"/>
      <c r="FH235" s="91"/>
      <c r="FI235" s="91"/>
      <c r="FJ235" s="91"/>
      <c r="FK235" s="91"/>
      <c r="FL235" s="91"/>
      <c r="FM235" s="91"/>
      <c r="FN235" s="91"/>
      <c r="FO235" s="91"/>
      <c r="FP235" s="91"/>
      <c r="FQ235" s="91"/>
      <c r="FR235" s="91"/>
      <c r="FS235" s="91"/>
      <c r="FT235" s="91"/>
      <c r="FU235" s="91"/>
      <c r="FV235" s="91"/>
    </row>
    <row r="236" spans="2:178" s="1" customFormat="1" ht="15.75">
      <c r="B236" s="358"/>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c r="BZ236" s="91"/>
      <c r="CA236" s="91"/>
      <c r="CB236" s="91"/>
      <c r="CC236" s="91"/>
      <c r="CD236" s="91"/>
      <c r="CE236" s="91"/>
      <c r="CF236" s="91"/>
      <c r="CG236" s="91"/>
      <c r="CH236" s="91"/>
      <c r="CI236" s="91"/>
      <c r="CJ236" s="91"/>
      <c r="CK236" s="91"/>
      <c r="CL236" s="91"/>
      <c r="CM236" s="91"/>
      <c r="CN236" s="91"/>
      <c r="CO236" s="91"/>
      <c r="CP236" s="91"/>
      <c r="CQ236" s="91"/>
      <c r="CR236" s="91"/>
      <c r="CS236" s="91"/>
      <c r="CT236" s="91"/>
      <c r="CU236" s="91"/>
      <c r="CV236" s="91"/>
      <c r="CW236" s="91"/>
      <c r="CX236" s="91"/>
      <c r="CY236" s="91"/>
      <c r="CZ236" s="91"/>
      <c r="DA236" s="91"/>
      <c r="DB236" s="91"/>
      <c r="DC236" s="91"/>
      <c r="DD236" s="91"/>
      <c r="DE236" s="91"/>
      <c r="DF236" s="91"/>
      <c r="DG236" s="91"/>
      <c r="DH236" s="91"/>
      <c r="DI236" s="91"/>
      <c r="DJ236" s="91"/>
      <c r="DK236" s="91"/>
      <c r="DL236" s="91"/>
      <c r="DM236" s="91"/>
      <c r="DN236" s="91"/>
      <c r="DO236" s="91"/>
      <c r="DP236" s="91"/>
      <c r="DQ236" s="91"/>
      <c r="DR236" s="91"/>
      <c r="DS236" s="91"/>
      <c r="DT236" s="91"/>
      <c r="DU236" s="91"/>
      <c r="DV236" s="91"/>
      <c r="DW236" s="91"/>
      <c r="DX236" s="91"/>
      <c r="DY236" s="91"/>
      <c r="DZ236" s="91"/>
      <c r="EA236" s="91"/>
      <c r="EB236" s="91"/>
      <c r="EC236" s="91"/>
      <c r="ED236" s="91"/>
      <c r="EE236" s="91"/>
      <c r="EF236" s="91"/>
      <c r="EG236" s="91"/>
      <c r="EH236" s="91"/>
      <c r="EI236" s="91"/>
      <c r="EJ236" s="91"/>
      <c r="EK236" s="91"/>
      <c r="EL236" s="91"/>
      <c r="EM236" s="91"/>
      <c r="EN236" s="91"/>
      <c r="EO236" s="91"/>
      <c r="EP236" s="91"/>
      <c r="EQ236" s="91"/>
      <c r="ER236" s="91"/>
      <c r="ES236" s="91"/>
      <c r="ET236" s="91"/>
      <c r="EU236" s="91"/>
      <c r="EV236" s="91"/>
      <c r="EW236" s="91"/>
      <c r="EX236" s="91"/>
      <c r="EY236" s="91"/>
      <c r="EZ236" s="91"/>
      <c r="FA236" s="91"/>
      <c r="FB236" s="91"/>
      <c r="FC236" s="91"/>
      <c r="FD236" s="91"/>
      <c r="FE236" s="91"/>
      <c r="FF236" s="91"/>
      <c r="FG236" s="91"/>
      <c r="FH236" s="91"/>
      <c r="FI236" s="91"/>
      <c r="FJ236" s="91"/>
      <c r="FK236" s="91"/>
      <c r="FL236" s="91"/>
      <c r="FM236" s="91"/>
      <c r="FN236" s="91"/>
      <c r="FO236" s="91"/>
      <c r="FP236" s="91"/>
      <c r="FQ236" s="91"/>
      <c r="FR236" s="91"/>
      <c r="FS236" s="91"/>
      <c r="FT236" s="91"/>
      <c r="FU236" s="91"/>
      <c r="FV236" s="91"/>
    </row>
    <row r="237" spans="2:178" s="1" customFormat="1" ht="15.75">
      <c r="B237" s="358"/>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91"/>
      <c r="CI237" s="91"/>
      <c r="CJ237" s="91"/>
      <c r="CK237" s="91"/>
      <c r="CL237" s="91"/>
      <c r="CM237" s="91"/>
      <c r="CN237" s="91"/>
      <c r="CO237" s="91"/>
      <c r="CP237" s="91"/>
      <c r="CQ237" s="91"/>
      <c r="CR237" s="91"/>
      <c r="CS237" s="91"/>
      <c r="CT237" s="91"/>
      <c r="CU237" s="91"/>
      <c r="CV237" s="91"/>
      <c r="CW237" s="91"/>
      <c r="CX237" s="91"/>
      <c r="CY237" s="91"/>
      <c r="CZ237" s="91"/>
      <c r="DA237" s="91"/>
      <c r="DB237" s="91"/>
      <c r="DC237" s="91"/>
      <c r="DD237" s="91"/>
      <c r="DE237" s="91"/>
      <c r="DF237" s="91"/>
      <c r="DG237" s="91"/>
      <c r="DH237" s="91"/>
      <c r="DI237" s="91"/>
      <c r="DJ237" s="91"/>
      <c r="DK237" s="91"/>
      <c r="DL237" s="91"/>
      <c r="DM237" s="91"/>
      <c r="DN237" s="91"/>
      <c r="DO237" s="91"/>
      <c r="DP237" s="91"/>
      <c r="DQ237" s="91"/>
      <c r="DR237" s="91"/>
      <c r="DS237" s="91"/>
      <c r="DT237" s="91"/>
      <c r="DU237" s="91"/>
      <c r="DV237" s="91"/>
      <c r="DW237" s="91"/>
      <c r="DX237" s="91"/>
      <c r="DY237" s="91"/>
      <c r="DZ237" s="91"/>
      <c r="EA237" s="91"/>
      <c r="EB237" s="91"/>
      <c r="EC237" s="91"/>
      <c r="ED237" s="91"/>
      <c r="EE237" s="91"/>
      <c r="EF237" s="91"/>
      <c r="EG237" s="91"/>
      <c r="EH237" s="91"/>
      <c r="EI237" s="91"/>
      <c r="EJ237" s="91"/>
      <c r="EK237" s="91"/>
      <c r="EL237" s="91"/>
      <c r="EM237" s="91"/>
      <c r="EN237" s="91"/>
      <c r="EO237" s="91"/>
      <c r="EP237" s="91"/>
      <c r="EQ237" s="91"/>
      <c r="ER237" s="91"/>
      <c r="ES237" s="91"/>
      <c r="ET237" s="91"/>
      <c r="EU237" s="91"/>
      <c r="EV237" s="91"/>
      <c r="EW237" s="91"/>
      <c r="EX237" s="91"/>
      <c r="EY237" s="91"/>
      <c r="EZ237" s="91"/>
      <c r="FA237" s="91"/>
      <c r="FB237" s="91"/>
      <c r="FC237" s="91"/>
      <c r="FD237" s="91"/>
      <c r="FE237" s="91"/>
      <c r="FF237" s="91"/>
      <c r="FG237" s="91"/>
      <c r="FH237" s="91"/>
      <c r="FI237" s="91"/>
      <c r="FJ237" s="91"/>
      <c r="FK237" s="91"/>
      <c r="FL237" s="91"/>
      <c r="FM237" s="91"/>
      <c r="FN237" s="91"/>
      <c r="FO237" s="91"/>
      <c r="FP237" s="91"/>
      <c r="FQ237" s="91"/>
      <c r="FR237" s="91"/>
      <c r="FS237" s="91"/>
      <c r="FT237" s="91"/>
      <c r="FU237" s="91"/>
      <c r="FV237" s="91"/>
    </row>
    <row r="238" spans="2:178" s="1" customFormat="1" ht="15.75">
      <c r="B238" s="358"/>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c r="BW238" s="91"/>
      <c r="BX238" s="91"/>
      <c r="BY238" s="91"/>
      <c r="BZ238" s="91"/>
      <c r="CA238" s="91"/>
      <c r="CB238" s="91"/>
      <c r="CC238" s="91"/>
      <c r="CD238" s="91"/>
      <c r="CE238" s="91"/>
      <c r="CF238" s="91"/>
      <c r="CG238" s="91"/>
      <c r="CH238" s="91"/>
      <c r="CI238" s="91"/>
      <c r="CJ238" s="91"/>
      <c r="CK238" s="91"/>
      <c r="CL238" s="91"/>
      <c r="CM238" s="91"/>
      <c r="CN238" s="91"/>
      <c r="CO238" s="91"/>
      <c r="CP238" s="91"/>
      <c r="CQ238" s="91"/>
      <c r="CR238" s="91"/>
      <c r="CS238" s="91"/>
      <c r="CT238" s="91"/>
      <c r="CU238" s="91"/>
      <c r="CV238" s="91"/>
      <c r="CW238" s="91"/>
      <c r="CX238" s="91"/>
      <c r="CY238" s="91"/>
      <c r="CZ238" s="91"/>
      <c r="DA238" s="91"/>
      <c r="DB238" s="91"/>
      <c r="DC238" s="91"/>
      <c r="DD238" s="91"/>
      <c r="DE238" s="91"/>
      <c r="DF238" s="91"/>
      <c r="DG238" s="91"/>
      <c r="DH238" s="91"/>
      <c r="DI238" s="91"/>
      <c r="DJ238" s="91"/>
      <c r="DK238" s="91"/>
      <c r="DL238" s="91"/>
      <c r="DM238" s="91"/>
      <c r="DN238" s="91"/>
      <c r="DO238" s="91"/>
      <c r="DP238" s="91"/>
      <c r="DQ238" s="91"/>
      <c r="DR238" s="91"/>
      <c r="DS238" s="91"/>
      <c r="DT238" s="91"/>
      <c r="DU238" s="91"/>
      <c r="DV238" s="91"/>
      <c r="DW238" s="91"/>
      <c r="DX238" s="91"/>
      <c r="DY238" s="91"/>
      <c r="DZ238" s="91"/>
      <c r="EA238" s="91"/>
      <c r="EB238" s="91"/>
      <c r="EC238" s="91"/>
      <c r="ED238" s="91"/>
      <c r="EE238" s="91"/>
      <c r="EF238" s="91"/>
      <c r="EG238" s="91"/>
      <c r="EH238" s="91"/>
      <c r="EI238" s="91"/>
      <c r="EJ238" s="91"/>
      <c r="EK238" s="91"/>
      <c r="EL238" s="91"/>
      <c r="EM238" s="91"/>
      <c r="EN238" s="91"/>
      <c r="EO238" s="91"/>
      <c r="EP238" s="91"/>
      <c r="EQ238" s="91"/>
      <c r="ER238" s="91"/>
      <c r="ES238" s="91"/>
      <c r="ET238" s="91"/>
      <c r="EU238" s="91"/>
      <c r="EV238" s="91"/>
      <c r="EW238" s="91"/>
      <c r="EX238" s="91"/>
      <c r="EY238" s="91"/>
      <c r="EZ238" s="91"/>
      <c r="FA238" s="91"/>
      <c r="FB238" s="91"/>
      <c r="FC238" s="91"/>
      <c r="FD238" s="91"/>
      <c r="FE238" s="91"/>
      <c r="FF238" s="91"/>
      <c r="FG238" s="91"/>
      <c r="FH238" s="91"/>
      <c r="FI238" s="91"/>
      <c r="FJ238" s="91"/>
      <c r="FK238" s="91"/>
      <c r="FL238" s="91"/>
      <c r="FM238" s="91"/>
      <c r="FN238" s="91"/>
      <c r="FO238" s="91"/>
      <c r="FP238" s="91"/>
      <c r="FQ238" s="91"/>
      <c r="FR238" s="91"/>
      <c r="FS238" s="91"/>
      <c r="FT238" s="91"/>
      <c r="FU238" s="91"/>
      <c r="FV238" s="91"/>
    </row>
    <row r="239" spans="2:178" s="1" customFormat="1" ht="15.75">
      <c r="B239" s="358"/>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91"/>
      <c r="CI239" s="91"/>
      <c r="CJ239" s="91"/>
      <c r="CK239" s="91"/>
      <c r="CL239" s="91"/>
      <c r="CM239" s="91"/>
      <c r="CN239" s="91"/>
      <c r="CO239" s="91"/>
      <c r="CP239" s="91"/>
      <c r="CQ239" s="91"/>
      <c r="CR239" s="91"/>
      <c r="CS239" s="91"/>
      <c r="CT239" s="91"/>
      <c r="CU239" s="91"/>
      <c r="CV239" s="91"/>
      <c r="CW239" s="91"/>
      <c r="CX239" s="91"/>
      <c r="CY239" s="91"/>
      <c r="CZ239" s="91"/>
      <c r="DA239" s="91"/>
      <c r="DB239" s="91"/>
      <c r="DC239" s="91"/>
      <c r="DD239" s="91"/>
      <c r="DE239" s="91"/>
      <c r="DF239" s="91"/>
      <c r="DG239" s="91"/>
      <c r="DH239" s="91"/>
      <c r="DI239" s="91"/>
      <c r="DJ239" s="91"/>
      <c r="DK239" s="91"/>
      <c r="DL239" s="91"/>
      <c r="DM239" s="91"/>
      <c r="DN239" s="91"/>
      <c r="DO239" s="91"/>
      <c r="DP239" s="91"/>
      <c r="DQ239" s="91"/>
      <c r="DR239" s="91"/>
      <c r="DS239" s="91"/>
      <c r="DT239" s="91"/>
      <c r="DU239" s="91"/>
      <c r="DV239" s="91"/>
      <c r="DW239" s="91"/>
      <c r="DX239" s="91"/>
      <c r="DY239" s="91"/>
      <c r="DZ239" s="91"/>
      <c r="EA239" s="91"/>
      <c r="EB239" s="91"/>
      <c r="EC239" s="91"/>
      <c r="ED239" s="91"/>
      <c r="EE239" s="91"/>
      <c r="EF239" s="91"/>
      <c r="EG239" s="91"/>
      <c r="EH239" s="91"/>
      <c r="EI239" s="91"/>
      <c r="EJ239" s="91"/>
      <c r="EK239" s="91"/>
      <c r="EL239" s="91"/>
      <c r="EM239" s="91"/>
      <c r="EN239" s="91"/>
      <c r="EO239" s="91"/>
      <c r="EP239" s="91"/>
      <c r="EQ239" s="91"/>
      <c r="ER239" s="91"/>
      <c r="ES239" s="91"/>
      <c r="ET239" s="91"/>
      <c r="EU239" s="91"/>
      <c r="EV239" s="91"/>
      <c r="EW239" s="91"/>
      <c r="EX239" s="91"/>
      <c r="EY239" s="91"/>
      <c r="EZ239" s="91"/>
      <c r="FA239" s="91"/>
      <c r="FB239" s="91"/>
      <c r="FC239" s="91"/>
      <c r="FD239" s="91"/>
      <c r="FE239" s="91"/>
      <c r="FF239" s="91"/>
      <c r="FG239" s="91"/>
      <c r="FH239" s="91"/>
      <c r="FI239" s="91"/>
      <c r="FJ239" s="91"/>
      <c r="FK239" s="91"/>
      <c r="FL239" s="91"/>
      <c r="FM239" s="91"/>
      <c r="FN239" s="91"/>
      <c r="FO239" s="91"/>
      <c r="FP239" s="91"/>
      <c r="FQ239" s="91"/>
      <c r="FR239" s="91"/>
      <c r="FS239" s="91"/>
      <c r="FT239" s="91"/>
      <c r="FU239" s="91"/>
      <c r="FV239" s="91"/>
    </row>
    <row r="240" spans="2:178" s="1" customFormat="1" ht="15.75">
      <c r="B240" s="358"/>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91"/>
      <c r="CI240" s="91"/>
      <c r="CJ240" s="91"/>
      <c r="CK240" s="91"/>
      <c r="CL240" s="91"/>
      <c r="CM240" s="91"/>
      <c r="CN240" s="91"/>
      <c r="CO240" s="91"/>
      <c r="CP240" s="91"/>
      <c r="CQ240" s="91"/>
      <c r="CR240" s="91"/>
      <c r="CS240" s="91"/>
      <c r="CT240" s="91"/>
      <c r="CU240" s="91"/>
      <c r="CV240" s="91"/>
      <c r="CW240" s="91"/>
      <c r="CX240" s="91"/>
      <c r="CY240" s="91"/>
      <c r="CZ240" s="91"/>
      <c r="DA240" s="91"/>
      <c r="DB240" s="91"/>
      <c r="DC240" s="91"/>
      <c r="DD240" s="91"/>
      <c r="DE240" s="91"/>
      <c r="DF240" s="91"/>
      <c r="DG240" s="91"/>
      <c r="DH240" s="91"/>
      <c r="DI240" s="91"/>
      <c r="DJ240" s="91"/>
      <c r="DK240" s="91"/>
      <c r="DL240" s="91"/>
      <c r="DM240" s="91"/>
      <c r="DN240" s="91"/>
      <c r="DO240" s="91"/>
      <c r="DP240" s="91"/>
      <c r="DQ240" s="91"/>
      <c r="DR240" s="91"/>
      <c r="DS240" s="91"/>
      <c r="DT240" s="91"/>
      <c r="DU240" s="91"/>
      <c r="DV240" s="91"/>
      <c r="DW240" s="91"/>
      <c r="DX240" s="91"/>
      <c r="DY240" s="91"/>
      <c r="DZ240" s="91"/>
      <c r="EA240" s="91"/>
      <c r="EB240" s="91"/>
      <c r="EC240" s="91"/>
      <c r="ED240" s="91"/>
      <c r="EE240" s="91"/>
      <c r="EF240" s="91"/>
      <c r="EG240" s="91"/>
      <c r="EH240" s="91"/>
      <c r="EI240" s="91"/>
      <c r="EJ240" s="91"/>
      <c r="EK240" s="91"/>
      <c r="EL240" s="91"/>
      <c r="EM240" s="91"/>
      <c r="EN240" s="91"/>
      <c r="EO240" s="91"/>
      <c r="EP240" s="91"/>
      <c r="EQ240" s="91"/>
      <c r="ER240" s="91"/>
      <c r="ES240" s="91"/>
      <c r="ET240" s="91"/>
      <c r="EU240" s="91"/>
      <c r="EV240" s="91"/>
      <c r="EW240" s="91"/>
      <c r="EX240" s="91"/>
      <c r="EY240" s="91"/>
      <c r="EZ240" s="91"/>
      <c r="FA240" s="91"/>
      <c r="FB240" s="91"/>
      <c r="FC240" s="91"/>
      <c r="FD240" s="91"/>
      <c r="FE240" s="91"/>
      <c r="FF240" s="91"/>
      <c r="FG240" s="91"/>
      <c r="FH240" s="91"/>
      <c r="FI240" s="91"/>
      <c r="FJ240" s="91"/>
      <c r="FK240" s="91"/>
      <c r="FL240" s="91"/>
      <c r="FM240" s="91"/>
      <c r="FN240" s="91"/>
      <c r="FO240" s="91"/>
      <c r="FP240" s="91"/>
      <c r="FQ240" s="91"/>
      <c r="FR240" s="91"/>
      <c r="FS240" s="91"/>
      <c r="FT240" s="91"/>
      <c r="FU240" s="91"/>
      <c r="FV240" s="91"/>
    </row>
    <row r="241" spans="2:178" s="1" customFormat="1" ht="15.75">
      <c r="B241" s="358"/>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91"/>
      <c r="CI241" s="91"/>
      <c r="CJ241" s="91"/>
      <c r="CK241" s="91"/>
      <c r="CL241" s="91"/>
      <c r="CM241" s="91"/>
      <c r="CN241" s="91"/>
      <c r="CO241" s="91"/>
      <c r="CP241" s="91"/>
      <c r="CQ241" s="91"/>
      <c r="CR241" s="91"/>
      <c r="CS241" s="91"/>
      <c r="CT241" s="91"/>
      <c r="CU241" s="91"/>
      <c r="CV241" s="91"/>
      <c r="CW241" s="91"/>
      <c r="CX241" s="91"/>
      <c r="CY241" s="91"/>
      <c r="CZ241" s="91"/>
      <c r="DA241" s="91"/>
      <c r="DB241" s="91"/>
      <c r="DC241" s="91"/>
      <c r="DD241" s="91"/>
      <c r="DE241" s="91"/>
      <c r="DF241" s="91"/>
      <c r="DG241" s="91"/>
      <c r="DH241" s="91"/>
      <c r="DI241" s="91"/>
      <c r="DJ241" s="91"/>
      <c r="DK241" s="91"/>
      <c r="DL241" s="91"/>
      <c r="DM241" s="91"/>
      <c r="DN241" s="91"/>
      <c r="DO241" s="91"/>
      <c r="DP241" s="91"/>
      <c r="DQ241" s="91"/>
      <c r="DR241" s="91"/>
      <c r="DS241" s="91"/>
      <c r="DT241" s="91"/>
      <c r="DU241" s="91"/>
      <c r="DV241" s="91"/>
      <c r="DW241" s="91"/>
      <c r="DX241" s="91"/>
      <c r="DY241" s="91"/>
      <c r="DZ241" s="91"/>
      <c r="EA241" s="91"/>
      <c r="EB241" s="91"/>
      <c r="EC241" s="91"/>
      <c r="ED241" s="91"/>
      <c r="EE241" s="91"/>
      <c r="EF241" s="91"/>
      <c r="EG241" s="91"/>
      <c r="EH241" s="91"/>
      <c r="EI241" s="91"/>
      <c r="EJ241" s="91"/>
      <c r="EK241" s="91"/>
      <c r="EL241" s="91"/>
      <c r="EM241" s="91"/>
      <c r="EN241" s="91"/>
      <c r="EO241" s="91"/>
      <c r="EP241" s="91"/>
      <c r="EQ241" s="91"/>
      <c r="ER241" s="91"/>
      <c r="ES241" s="91"/>
      <c r="ET241" s="91"/>
      <c r="EU241" s="91"/>
      <c r="EV241" s="91"/>
      <c r="EW241" s="91"/>
      <c r="EX241" s="91"/>
      <c r="EY241" s="91"/>
      <c r="EZ241" s="91"/>
      <c r="FA241" s="91"/>
      <c r="FB241" s="91"/>
      <c r="FC241" s="91"/>
      <c r="FD241" s="91"/>
      <c r="FE241" s="91"/>
      <c r="FF241" s="91"/>
      <c r="FG241" s="91"/>
      <c r="FH241" s="91"/>
      <c r="FI241" s="91"/>
      <c r="FJ241" s="91"/>
      <c r="FK241" s="91"/>
      <c r="FL241" s="91"/>
      <c r="FM241" s="91"/>
      <c r="FN241" s="91"/>
      <c r="FO241" s="91"/>
      <c r="FP241" s="91"/>
      <c r="FQ241" s="91"/>
      <c r="FR241" s="91"/>
      <c r="FS241" s="91"/>
      <c r="FT241" s="91"/>
      <c r="FU241" s="91"/>
      <c r="FV241" s="91"/>
    </row>
    <row r="242" spans="2:178" s="1" customFormat="1" ht="15.75">
      <c r="B242" s="358"/>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91"/>
      <c r="CI242" s="91"/>
      <c r="CJ242" s="91"/>
      <c r="CK242" s="91"/>
      <c r="CL242" s="91"/>
      <c r="CM242" s="91"/>
      <c r="CN242" s="91"/>
      <c r="CO242" s="91"/>
      <c r="CP242" s="91"/>
      <c r="CQ242" s="91"/>
      <c r="CR242" s="91"/>
      <c r="CS242" s="91"/>
      <c r="CT242" s="91"/>
      <c r="CU242" s="91"/>
      <c r="CV242" s="91"/>
      <c r="CW242" s="91"/>
      <c r="CX242" s="91"/>
      <c r="CY242" s="91"/>
      <c r="CZ242" s="91"/>
      <c r="DA242" s="91"/>
      <c r="DB242" s="91"/>
      <c r="DC242" s="91"/>
      <c r="DD242" s="91"/>
      <c r="DE242" s="91"/>
      <c r="DF242" s="91"/>
      <c r="DG242" s="91"/>
      <c r="DH242" s="91"/>
      <c r="DI242" s="91"/>
      <c r="DJ242" s="91"/>
      <c r="DK242" s="91"/>
      <c r="DL242" s="91"/>
      <c r="DM242" s="91"/>
      <c r="DN242" s="91"/>
      <c r="DO242" s="91"/>
      <c r="DP242" s="91"/>
      <c r="DQ242" s="91"/>
      <c r="DR242" s="91"/>
      <c r="DS242" s="91"/>
      <c r="DT242" s="91"/>
      <c r="DU242" s="91"/>
      <c r="DV242" s="91"/>
      <c r="DW242" s="91"/>
      <c r="DX242" s="91"/>
      <c r="DY242" s="91"/>
      <c r="DZ242" s="91"/>
      <c r="EA242" s="91"/>
      <c r="EB242" s="91"/>
      <c r="EC242" s="91"/>
      <c r="ED242" s="91"/>
      <c r="EE242" s="91"/>
      <c r="EF242" s="91"/>
      <c r="EG242" s="91"/>
      <c r="EH242" s="91"/>
      <c r="EI242" s="91"/>
      <c r="EJ242" s="91"/>
      <c r="EK242" s="91"/>
      <c r="EL242" s="91"/>
      <c r="EM242" s="91"/>
      <c r="EN242" s="91"/>
      <c r="EO242" s="91"/>
      <c r="EP242" s="91"/>
      <c r="EQ242" s="91"/>
      <c r="ER242" s="91"/>
      <c r="ES242" s="91"/>
      <c r="ET242" s="91"/>
      <c r="EU242" s="91"/>
      <c r="EV242" s="91"/>
      <c r="EW242" s="91"/>
      <c r="EX242" s="91"/>
      <c r="EY242" s="91"/>
      <c r="EZ242" s="91"/>
      <c r="FA242" s="91"/>
      <c r="FB242" s="91"/>
      <c r="FC242" s="91"/>
      <c r="FD242" s="91"/>
      <c r="FE242" s="91"/>
      <c r="FF242" s="91"/>
      <c r="FG242" s="91"/>
      <c r="FH242" s="91"/>
      <c r="FI242" s="91"/>
      <c r="FJ242" s="91"/>
      <c r="FK242" s="91"/>
      <c r="FL242" s="91"/>
      <c r="FM242" s="91"/>
      <c r="FN242" s="91"/>
      <c r="FO242" s="91"/>
      <c r="FP242" s="91"/>
      <c r="FQ242" s="91"/>
      <c r="FR242" s="91"/>
      <c r="FS242" s="91"/>
      <c r="FT242" s="91"/>
      <c r="FU242" s="91"/>
      <c r="FV242" s="91"/>
    </row>
    <row r="243" spans="2:178" s="1" customFormat="1" ht="15.75">
      <c r="B243" s="358"/>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91"/>
      <c r="CI243" s="91"/>
      <c r="CJ243" s="91"/>
      <c r="CK243" s="91"/>
      <c r="CL243" s="91"/>
      <c r="CM243" s="91"/>
      <c r="CN243" s="91"/>
      <c r="CO243" s="91"/>
      <c r="CP243" s="91"/>
      <c r="CQ243" s="91"/>
      <c r="CR243" s="91"/>
      <c r="CS243" s="91"/>
      <c r="CT243" s="91"/>
      <c r="CU243" s="91"/>
      <c r="CV243" s="91"/>
      <c r="CW243" s="91"/>
      <c r="CX243" s="91"/>
      <c r="CY243" s="91"/>
      <c r="CZ243" s="91"/>
      <c r="DA243" s="91"/>
      <c r="DB243" s="91"/>
      <c r="DC243" s="91"/>
      <c r="DD243" s="91"/>
      <c r="DE243" s="91"/>
      <c r="DF243" s="91"/>
      <c r="DG243" s="91"/>
      <c r="DH243" s="91"/>
      <c r="DI243" s="91"/>
      <c r="DJ243" s="91"/>
      <c r="DK243" s="91"/>
      <c r="DL243" s="91"/>
      <c r="DM243" s="91"/>
      <c r="DN243" s="91"/>
      <c r="DO243" s="91"/>
      <c r="DP243" s="91"/>
      <c r="DQ243" s="91"/>
      <c r="DR243" s="91"/>
      <c r="DS243" s="91"/>
      <c r="DT243" s="91"/>
      <c r="DU243" s="91"/>
      <c r="DV243" s="91"/>
      <c r="DW243" s="91"/>
      <c r="DX243" s="91"/>
      <c r="DY243" s="91"/>
      <c r="DZ243" s="91"/>
      <c r="EA243" s="91"/>
      <c r="EB243" s="91"/>
      <c r="EC243" s="91"/>
      <c r="ED243" s="91"/>
      <c r="EE243" s="91"/>
      <c r="EF243" s="91"/>
      <c r="EG243" s="91"/>
      <c r="EH243" s="91"/>
      <c r="EI243" s="91"/>
      <c r="EJ243" s="91"/>
      <c r="EK243" s="91"/>
      <c r="EL243" s="91"/>
      <c r="EM243" s="91"/>
      <c r="EN243" s="91"/>
      <c r="EO243" s="91"/>
      <c r="EP243" s="91"/>
      <c r="EQ243" s="91"/>
      <c r="ER243" s="91"/>
      <c r="ES243" s="91"/>
      <c r="ET243" s="91"/>
      <c r="EU243" s="91"/>
      <c r="EV243" s="91"/>
      <c r="EW243" s="91"/>
      <c r="EX243" s="91"/>
      <c r="EY243" s="91"/>
      <c r="EZ243" s="91"/>
      <c r="FA243" s="91"/>
      <c r="FB243" s="91"/>
      <c r="FC243" s="91"/>
      <c r="FD243" s="91"/>
      <c r="FE243" s="91"/>
      <c r="FF243" s="91"/>
      <c r="FG243" s="91"/>
      <c r="FH243" s="91"/>
      <c r="FI243" s="91"/>
      <c r="FJ243" s="91"/>
      <c r="FK243" s="91"/>
      <c r="FL243" s="91"/>
      <c r="FM243" s="91"/>
      <c r="FN243" s="91"/>
      <c r="FO243" s="91"/>
      <c r="FP243" s="91"/>
      <c r="FQ243" s="91"/>
      <c r="FR243" s="91"/>
      <c r="FS243" s="91"/>
      <c r="FT243" s="91"/>
      <c r="FU243" s="91"/>
      <c r="FV243" s="91"/>
    </row>
    <row r="244" spans="2:178" s="1" customFormat="1" ht="15.75">
      <c r="B244" s="358"/>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91"/>
      <c r="CI244" s="91"/>
      <c r="CJ244" s="91"/>
      <c r="CK244" s="91"/>
      <c r="CL244" s="91"/>
      <c r="CM244" s="91"/>
      <c r="CN244" s="91"/>
      <c r="CO244" s="91"/>
      <c r="CP244" s="91"/>
      <c r="CQ244" s="91"/>
      <c r="CR244" s="91"/>
      <c r="CS244" s="91"/>
      <c r="CT244" s="91"/>
      <c r="CU244" s="91"/>
      <c r="CV244" s="91"/>
      <c r="CW244" s="91"/>
      <c r="CX244" s="91"/>
      <c r="CY244" s="91"/>
      <c r="CZ244" s="91"/>
      <c r="DA244" s="91"/>
      <c r="DB244" s="91"/>
      <c r="DC244" s="91"/>
      <c r="DD244" s="91"/>
      <c r="DE244" s="91"/>
      <c r="DF244" s="91"/>
      <c r="DG244" s="91"/>
      <c r="DH244" s="91"/>
      <c r="DI244" s="91"/>
      <c r="DJ244" s="91"/>
      <c r="DK244" s="91"/>
      <c r="DL244" s="91"/>
      <c r="DM244" s="91"/>
      <c r="DN244" s="91"/>
      <c r="DO244" s="91"/>
      <c r="DP244" s="91"/>
      <c r="DQ244" s="91"/>
      <c r="DR244" s="91"/>
      <c r="DS244" s="91"/>
      <c r="DT244" s="91"/>
      <c r="DU244" s="91"/>
      <c r="DV244" s="91"/>
      <c r="DW244" s="91"/>
      <c r="DX244" s="91"/>
      <c r="DY244" s="91"/>
      <c r="DZ244" s="91"/>
      <c r="EA244" s="91"/>
      <c r="EB244" s="91"/>
      <c r="EC244" s="91"/>
      <c r="ED244" s="91"/>
      <c r="EE244" s="91"/>
      <c r="EF244" s="91"/>
      <c r="EG244" s="91"/>
      <c r="EH244" s="91"/>
      <c r="EI244" s="91"/>
      <c r="EJ244" s="91"/>
      <c r="EK244" s="91"/>
      <c r="EL244" s="91"/>
      <c r="EM244" s="91"/>
      <c r="EN244" s="91"/>
      <c r="EO244" s="91"/>
      <c r="EP244" s="91"/>
      <c r="EQ244" s="91"/>
      <c r="ER244" s="91"/>
      <c r="ES244" s="91"/>
      <c r="ET244" s="91"/>
      <c r="EU244" s="91"/>
      <c r="EV244" s="91"/>
      <c r="EW244" s="91"/>
      <c r="EX244" s="91"/>
      <c r="EY244" s="91"/>
      <c r="EZ244" s="91"/>
      <c r="FA244" s="91"/>
      <c r="FB244" s="91"/>
      <c r="FC244" s="91"/>
      <c r="FD244" s="91"/>
      <c r="FE244" s="91"/>
      <c r="FF244" s="91"/>
      <c r="FG244" s="91"/>
      <c r="FH244" s="91"/>
      <c r="FI244" s="91"/>
      <c r="FJ244" s="91"/>
      <c r="FK244" s="91"/>
      <c r="FL244" s="91"/>
      <c r="FM244" s="91"/>
      <c r="FN244" s="91"/>
      <c r="FO244" s="91"/>
      <c r="FP244" s="91"/>
      <c r="FQ244" s="91"/>
      <c r="FR244" s="91"/>
      <c r="FS244" s="91"/>
      <c r="FT244" s="91"/>
      <c r="FU244" s="91"/>
      <c r="FV244" s="91"/>
    </row>
    <row r="245" spans="2:178" s="1" customFormat="1" ht="15.75">
      <c r="B245" s="358"/>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c r="BW245" s="91"/>
      <c r="BX245" s="91"/>
      <c r="BY245" s="91"/>
      <c r="BZ245" s="91"/>
      <c r="CA245" s="91"/>
      <c r="CB245" s="91"/>
      <c r="CC245" s="91"/>
      <c r="CD245" s="91"/>
      <c r="CE245" s="91"/>
      <c r="CF245" s="91"/>
      <c r="CG245" s="91"/>
      <c r="CH245" s="91"/>
      <c r="CI245" s="91"/>
      <c r="CJ245" s="91"/>
      <c r="CK245" s="91"/>
      <c r="CL245" s="91"/>
      <c r="CM245" s="91"/>
      <c r="CN245" s="91"/>
      <c r="CO245" s="91"/>
      <c r="CP245" s="91"/>
      <c r="CQ245" s="91"/>
      <c r="CR245" s="91"/>
      <c r="CS245" s="91"/>
      <c r="CT245" s="91"/>
      <c r="CU245" s="91"/>
      <c r="CV245" s="91"/>
      <c r="CW245" s="91"/>
      <c r="CX245" s="91"/>
      <c r="CY245" s="91"/>
      <c r="CZ245" s="91"/>
      <c r="DA245" s="91"/>
      <c r="DB245" s="91"/>
      <c r="DC245" s="91"/>
      <c r="DD245" s="91"/>
      <c r="DE245" s="91"/>
      <c r="DF245" s="91"/>
      <c r="DG245" s="91"/>
      <c r="DH245" s="91"/>
      <c r="DI245" s="91"/>
      <c r="DJ245" s="91"/>
      <c r="DK245" s="91"/>
      <c r="DL245" s="91"/>
      <c r="DM245" s="91"/>
      <c r="DN245" s="91"/>
      <c r="DO245" s="91"/>
      <c r="DP245" s="91"/>
      <c r="DQ245" s="91"/>
      <c r="DR245" s="91"/>
      <c r="DS245" s="91"/>
      <c r="DT245" s="91"/>
      <c r="DU245" s="91"/>
      <c r="DV245" s="91"/>
      <c r="DW245" s="91"/>
      <c r="DX245" s="91"/>
      <c r="DY245" s="91"/>
      <c r="DZ245" s="91"/>
      <c r="EA245" s="91"/>
      <c r="EB245" s="91"/>
      <c r="EC245" s="91"/>
      <c r="ED245" s="91"/>
      <c r="EE245" s="91"/>
      <c r="EF245" s="91"/>
      <c r="EG245" s="91"/>
      <c r="EH245" s="91"/>
      <c r="EI245" s="91"/>
      <c r="EJ245" s="91"/>
      <c r="EK245" s="91"/>
      <c r="EL245" s="91"/>
      <c r="EM245" s="91"/>
      <c r="EN245" s="91"/>
      <c r="EO245" s="91"/>
      <c r="EP245" s="91"/>
      <c r="EQ245" s="91"/>
      <c r="ER245" s="91"/>
      <c r="ES245" s="91"/>
      <c r="ET245" s="91"/>
      <c r="EU245" s="91"/>
      <c r="EV245" s="91"/>
      <c r="EW245" s="91"/>
      <c r="EX245" s="91"/>
      <c r="EY245" s="91"/>
      <c r="EZ245" s="91"/>
      <c r="FA245" s="91"/>
      <c r="FB245" s="91"/>
      <c r="FC245" s="91"/>
      <c r="FD245" s="91"/>
      <c r="FE245" s="91"/>
      <c r="FF245" s="91"/>
      <c r="FG245" s="91"/>
      <c r="FH245" s="91"/>
      <c r="FI245" s="91"/>
      <c r="FJ245" s="91"/>
      <c r="FK245" s="91"/>
      <c r="FL245" s="91"/>
      <c r="FM245" s="91"/>
      <c r="FN245" s="91"/>
      <c r="FO245" s="91"/>
      <c r="FP245" s="91"/>
      <c r="FQ245" s="91"/>
      <c r="FR245" s="91"/>
      <c r="FS245" s="91"/>
      <c r="FT245" s="91"/>
      <c r="FU245" s="91"/>
      <c r="FV245" s="91"/>
    </row>
    <row r="246" spans="2:178" s="1" customFormat="1" ht="15.75">
      <c r="B246" s="358"/>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91"/>
      <c r="CI246" s="91"/>
      <c r="CJ246" s="91"/>
      <c r="CK246" s="91"/>
      <c r="CL246" s="91"/>
      <c r="CM246" s="91"/>
      <c r="CN246" s="91"/>
      <c r="CO246" s="91"/>
      <c r="CP246" s="91"/>
      <c r="CQ246" s="91"/>
      <c r="CR246" s="91"/>
      <c r="CS246" s="91"/>
      <c r="CT246" s="91"/>
      <c r="CU246" s="91"/>
      <c r="CV246" s="91"/>
      <c r="CW246" s="91"/>
      <c r="CX246" s="91"/>
      <c r="CY246" s="91"/>
      <c r="CZ246" s="91"/>
      <c r="DA246" s="91"/>
      <c r="DB246" s="91"/>
      <c r="DC246" s="91"/>
      <c r="DD246" s="91"/>
      <c r="DE246" s="91"/>
      <c r="DF246" s="91"/>
      <c r="DG246" s="91"/>
      <c r="DH246" s="91"/>
      <c r="DI246" s="91"/>
      <c r="DJ246" s="91"/>
      <c r="DK246" s="91"/>
      <c r="DL246" s="91"/>
      <c r="DM246" s="91"/>
      <c r="DN246" s="91"/>
      <c r="DO246" s="91"/>
      <c r="DP246" s="91"/>
      <c r="DQ246" s="91"/>
      <c r="DR246" s="91"/>
      <c r="DS246" s="91"/>
      <c r="DT246" s="91"/>
      <c r="DU246" s="91"/>
      <c r="DV246" s="91"/>
      <c r="DW246" s="91"/>
      <c r="DX246" s="91"/>
      <c r="DY246" s="91"/>
      <c r="DZ246" s="91"/>
      <c r="EA246" s="91"/>
      <c r="EB246" s="91"/>
      <c r="EC246" s="91"/>
      <c r="ED246" s="91"/>
      <c r="EE246" s="91"/>
      <c r="EF246" s="91"/>
      <c r="EG246" s="91"/>
      <c r="EH246" s="91"/>
      <c r="EI246" s="91"/>
      <c r="EJ246" s="91"/>
      <c r="EK246" s="91"/>
      <c r="EL246" s="91"/>
      <c r="EM246" s="91"/>
      <c r="EN246" s="91"/>
      <c r="EO246" s="91"/>
      <c r="EP246" s="91"/>
      <c r="EQ246" s="91"/>
      <c r="ER246" s="91"/>
      <c r="ES246" s="91"/>
      <c r="ET246" s="91"/>
      <c r="EU246" s="91"/>
      <c r="EV246" s="91"/>
      <c r="EW246" s="91"/>
      <c r="EX246" s="91"/>
      <c r="EY246" s="91"/>
      <c r="EZ246" s="91"/>
      <c r="FA246" s="91"/>
      <c r="FB246" s="91"/>
      <c r="FC246" s="91"/>
      <c r="FD246" s="91"/>
      <c r="FE246" s="91"/>
      <c r="FF246" s="91"/>
      <c r="FG246" s="91"/>
      <c r="FH246" s="91"/>
      <c r="FI246" s="91"/>
      <c r="FJ246" s="91"/>
      <c r="FK246" s="91"/>
      <c r="FL246" s="91"/>
      <c r="FM246" s="91"/>
      <c r="FN246" s="91"/>
      <c r="FO246" s="91"/>
      <c r="FP246" s="91"/>
      <c r="FQ246" s="91"/>
      <c r="FR246" s="91"/>
      <c r="FS246" s="91"/>
      <c r="FT246" s="91"/>
      <c r="FU246" s="91"/>
      <c r="FV246" s="91"/>
    </row>
    <row r="247" spans="2:178" s="1" customFormat="1" ht="15.75">
      <c r="B247" s="358"/>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91"/>
      <c r="CI247" s="91"/>
      <c r="CJ247" s="91"/>
      <c r="CK247" s="91"/>
      <c r="CL247" s="91"/>
      <c r="CM247" s="91"/>
      <c r="CN247" s="91"/>
      <c r="CO247" s="91"/>
      <c r="CP247" s="91"/>
      <c r="CQ247" s="91"/>
      <c r="CR247" s="91"/>
      <c r="CS247" s="91"/>
      <c r="CT247" s="91"/>
      <c r="CU247" s="91"/>
      <c r="CV247" s="91"/>
      <c r="CW247" s="91"/>
      <c r="CX247" s="91"/>
      <c r="CY247" s="91"/>
      <c r="CZ247" s="91"/>
      <c r="DA247" s="91"/>
      <c r="DB247" s="91"/>
      <c r="DC247" s="91"/>
      <c r="DD247" s="91"/>
      <c r="DE247" s="91"/>
      <c r="DF247" s="91"/>
      <c r="DG247" s="91"/>
      <c r="DH247" s="91"/>
      <c r="DI247" s="91"/>
      <c r="DJ247" s="91"/>
      <c r="DK247" s="91"/>
      <c r="DL247" s="91"/>
      <c r="DM247" s="91"/>
      <c r="DN247" s="91"/>
      <c r="DO247" s="91"/>
      <c r="DP247" s="91"/>
      <c r="DQ247" s="91"/>
      <c r="DR247" s="91"/>
      <c r="DS247" s="91"/>
      <c r="DT247" s="91"/>
      <c r="DU247" s="91"/>
      <c r="DV247" s="91"/>
      <c r="DW247" s="91"/>
      <c r="DX247" s="91"/>
      <c r="DY247" s="91"/>
      <c r="DZ247" s="91"/>
      <c r="EA247" s="91"/>
      <c r="EB247" s="91"/>
      <c r="EC247" s="91"/>
      <c r="ED247" s="91"/>
      <c r="EE247" s="91"/>
      <c r="EF247" s="91"/>
      <c r="EG247" s="91"/>
      <c r="EH247" s="91"/>
      <c r="EI247" s="91"/>
      <c r="EJ247" s="91"/>
      <c r="EK247" s="91"/>
      <c r="EL247" s="91"/>
      <c r="EM247" s="91"/>
      <c r="EN247" s="91"/>
      <c r="EO247" s="91"/>
      <c r="EP247" s="91"/>
      <c r="EQ247" s="91"/>
      <c r="ER247" s="91"/>
      <c r="ES247" s="91"/>
      <c r="ET247" s="91"/>
      <c r="EU247" s="91"/>
      <c r="EV247" s="91"/>
      <c r="EW247" s="91"/>
      <c r="EX247" s="91"/>
      <c r="EY247" s="91"/>
      <c r="EZ247" s="91"/>
      <c r="FA247" s="91"/>
      <c r="FB247" s="91"/>
      <c r="FC247" s="91"/>
      <c r="FD247" s="91"/>
      <c r="FE247" s="91"/>
      <c r="FF247" s="91"/>
      <c r="FG247" s="91"/>
      <c r="FH247" s="91"/>
      <c r="FI247" s="91"/>
      <c r="FJ247" s="91"/>
      <c r="FK247" s="91"/>
      <c r="FL247" s="91"/>
      <c r="FM247" s="91"/>
      <c r="FN247" s="91"/>
      <c r="FO247" s="91"/>
      <c r="FP247" s="91"/>
      <c r="FQ247" s="91"/>
      <c r="FR247" s="91"/>
      <c r="FS247" s="91"/>
      <c r="FT247" s="91"/>
      <c r="FU247" s="91"/>
      <c r="FV247" s="91"/>
    </row>
    <row r="248" spans="2:178" s="1" customFormat="1" ht="15.75">
      <c r="B248" s="358"/>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91"/>
      <c r="CI248" s="91"/>
      <c r="CJ248" s="91"/>
      <c r="CK248" s="91"/>
      <c r="CL248" s="91"/>
      <c r="CM248" s="91"/>
      <c r="CN248" s="91"/>
      <c r="CO248" s="91"/>
      <c r="CP248" s="91"/>
      <c r="CQ248" s="91"/>
      <c r="CR248" s="91"/>
      <c r="CS248" s="91"/>
      <c r="CT248" s="91"/>
      <c r="CU248" s="91"/>
      <c r="CV248" s="91"/>
      <c r="CW248" s="91"/>
      <c r="CX248" s="91"/>
      <c r="CY248" s="91"/>
      <c r="CZ248" s="91"/>
      <c r="DA248" s="91"/>
      <c r="DB248" s="91"/>
      <c r="DC248" s="91"/>
      <c r="DD248" s="91"/>
      <c r="DE248" s="91"/>
      <c r="DF248" s="91"/>
      <c r="DG248" s="91"/>
      <c r="DH248" s="91"/>
      <c r="DI248" s="91"/>
      <c r="DJ248" s="91"/>
      <c r="DK248" s="91"/>
      <c r="DL248" s="91"/>
      <c r="DM248" s="91"/>
      <c r="DN248" s="91"/>
      <c r="DO248" s="91"/>
      <c r="DP248" s="91"/>
      <c r="DQ248" s="91"/>
      <c r="DR248" s="91"/>
      <c r="DS248" s="91"/>
      <c r="DT248" s="91"/>
      <c r="DU248" s="91"/>
      <c r="DV248" s="91"/>
      <c r="DW248" s="91"/>
      <c r="DX248" s="91"/>
      <c r="DY248" s="91"/>
      <c r="DZ248" s="91"/>
      <c r="EA248" s="91"/>
      <c r="EB248" s="91"/>
      <c r="EC248" s="91"/>
      <c r="ED248" s="91"/>
      <c r="EE248" s="91"/>
      <c r="EF248" s="91"/>
      <c r="EG248" s="91"/>
      <c r="EH248" s="91"/>
      <c r="EI248" s="91"/>
      <c r="EJ248" s="91"/>
      <c r="EK248" s="91"/>
      <c r="EL248" s="91"/>
      <c r="EM248" s="91"/>
      <c r="EN248" s="91"/>
      <c r="EO248" s="91"/>
      <c r="EP248" s="91"/>
      <c r="EQ248" s="91"/>
      <c r="ER248" s="91"/>
      <c r="ES248" s="91"/>
      <c r="ET248" s="91"/>
      <c r="EU248" s="91"/>
      <c r="EV248" s="91"/>
      <c r="EW248" s="91"/>
      <c r="EX248" s="91"/>
      <c r="EY248" s="91"/>
      <c r="EZ248" s="91"/>
      <c r="FA248" s="91"/>
      <c r="FB248" s="91"/>
      <c r="FC248" s="91"/>
      <c r="FD248" s="91"/>
      <c r="FE248" s="91"/>
      <c r="FF248" s="91"/>
      <c r="FG248" s="91"/>
      <c r="FH248" s="91"/>
      <c r="FI248" s="91"/>
      <c r="FJ248" s="91"/>
      <c r="FK248" s="91"/>
      <c r="FL248" s="91"/>
      <c r="FM248" s="91"/>
      <c r="FN248" s="91"/>
      <c r="FO248" s="91"/>
      <c r="FP248" s="91"/>
      <c r="FQ248" s="91"/>
      <c r="FR248" s="91"/>
      <c r="FS248" s="91"/>
      <c r="FT248" s="91"/>
      <c r="FU248" s="91"/>
      <c r="FV248" s="91"/>
    </row>
    <row r="249" spans="2:178" s="1" customFormat="1" ht="15.75">
      <c r="B249" s="358"/>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91"/>
      <c r="CI249" s="91"/>
      <c r="CJ249" s="91"/>
      <c r="CK249" s="91"/>
      <c r="CL249" s="91"/>
      <c r="CM249" s="91"/>
      <c r="CN249" s="91"/>
      <c r="CO249" s="91"/>
      <c r="CP249" s="91"/>
      <c r="CQ249" s="91"/>
      <c r="CR249" s="91"/>
      <c r="CS249" s="91"/>
      <c r="CT249" s="91"/>
      <c r="CU249" s="91"/>
      <c r="CV249" s="91"/>
      <c r="CW249" s="91"/>
      <c r="CX249" s="91"/>
      <c r="CY249" s="91"/>
      <c r="CZ249" s="91"/>
      <c r="DA249" s="91"/>
      <c r="DB249" s="91"/>
      <c r="DC249" s="91"/>
      <c r="DD249" s="91"/>
      <c r="DE249" s="91"/>
      <c r="DF249" s="91"/>
      <c r="DG249" s="91"/>
      <c r="DH249" s="91"/>
      <c r="DI249" s="91"/>
      <c r="DJ249" s="91"/>
      <c r="DK249" s="91"/>
      <c r="DL249" s="91"/>
      <c r="DM249" s="91"/>
      <c r="DN249" s="91"/>
      <c r="DO249" s="91"/>
      <c r="DP249" s="91"/>
      <c r="DQ249" s="91"/>
      <c r="DR249" s="91"/>
      <c r="DS249" s="91"/>
      <c r="DT249" s="91"/>
      <c r="DU249" s="91"/>
      <c r="DV249" s="91"/>
      <c r="DW249" s="91"/>
      <c r="DX249" s="91"/>
      <c r="DY249" s="91"/>
      <c r="DZ249" s="91"/>
      <c r="EA249" s="91"/>
      <c r="EB249" s="91"/>
      <c r="EC249" s="91"/>
      <c r="ED249" s="91"/>
      <c r="EE249" s="91"/>
      <c r="EF249" s="91"/>
      <c r="EG249" s="91"/>
      <c r="EH249" s="91"/>
      <c r="EI249" s="91"/>
      <c r="EJ249" s="91"/>
      <c r="EK249" s="91"/>
      <c r="EL249" s="91"/>
      <c r="EM249" s="91"/>
      <c r="EN249" s="91"/>
      <c r="EO249" s="91"/>
      <c r="EP249" s="91"/>
      <c r="EQ249" s="91"/>
      <c r="ER249" s="91"/>
      <c r="ES249" s="91"/>
      <c r="ET249" s="91"/>
      <c r="EU249" s="91"/>
      <c r="EV249" s="91"/>
      <c r="EW249" s="91"/>
      <c r="EX249" s="91"/>
      <c r="EY249" s="91"/>
      <c r="EZ249" s="91"/>
      <c r="FA249" s="91"/>
      <c r="FB249" s="91"/>
      <c r="FC249" s="91"/>
      <c r="FD249" s="91"/>
      <c r="FE249" s="91"/>
      <c r="FF249" s="91"/>
      <c r="FG249" s="91"/>
      <c r="FH249" s="91"/>
      <c r="FI249" s="91"/>
      <c r="FJ249" s="91"/>
      <c r="FK249" s="91"/>
      <c r="FL249" s="91"/>
      <c r="FM249" s="91"/>
      <c r="FN249" s="91"/>
      <c r="FO249" s="91"/>
      <c r="FP249" s="91"/>
      <c r="FQ249" s="91"/>
      <c r="FR249" s="91"/>
      <c r="FS249" s="91"/>
      <c r="FT249" s="91"/>
      <c r="FU249" s="91"/>
      <c r="FV249" s="91"/>
    </row>
    <row r="250" spans="2:178" s="1" customFormat="1" ht="15.75">
      <c r="B250" s="358"/>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91"/>
      <c r="CI250" s="91"/>
      <c r="CJ250" s="91"/>
      <c r="CK250" s="91"/>
      <c r="CL250" s="91"/>
      <c r="CM250" s="91"/>
      <c r="CN250" s="91"/>
      <c r="CO250" s="91"/>
      <c r="CP250" s="91"/>
      <c r="CQ250" s="91"/>
      <c r="CR250" s="91"/>
      <c r="CS250" s="91"/>
      <c r="CT250" s="91"/>
      <c r="CU250" s="91"/>
      <c r="CV250" s="91"/>
      <c r="CW250" s="91"/>
      <c r="CX250" s="91"/>
      <c r="CY250" s="91"/>
      <c r="CZ250" s="91"/>
      <c r="DA250" s="91"/>
      <c r="DB250" s="91"/>
      <c r="DC250" s="91"/>
      <c r="DD250" s="91"/>
      <c r="DE250" s="91"/>
      <c r="DF250" s="91"/>
      <c r="DG250" s="91"/>
      <c r="DH250" s="91"/>
      <c r="DI250" s="91"/>
      <c r="DJ250" s="91"/>
      <c r="DK250" s="91"/>
      <c r="DL250" s="91"/>
      <c r="DM250" s="91"/>
      <c r="DN250" s="91"/>
      <c r="DO250" s="91"/>
      <c r="DP250" s="91"/>
      <c r="DQ250" s="91"/>
      <c r="DR250" s="91"/>
      <c r="DS250" s="91"/>
      <c r="DT250" s="91"/>
      <c r="DU250" s="91"/>
      <c r="DV250" s="91"/>
      <c r="DW250" s="91"/>
      <c r="DX250" s="91"/>
      <c r="DY250" s="91"/>
      <c r="DZ250" s="91"/>
      <c r="EA250" s="91"/>
      <c r="EB250" s="91"/>
      <c r="EC250" s="91"/>
      <c r="ED250" s="91"/>
      <c r="EE250" s="91"/>
      <c r="EF250" s="91"/>
      <c r="EG250" s="91"/>
      <c r="EH250" s="91"/>
      <c r="EI250" s="91"/>
      <c r="EJ250" s="91"/>
      <c r="EK250" s="91"/>
      <c r="EL250" s="91"/>
      <c r="EM250" s="91"/>
      <c r="EN250" s="91"/>
      <c r="EO250" s="91"/>
      <c r="EP250" s="91"/>
      <c r="EQ250" s="91"/>
      <c r="ER250" s="91"/>
      <c r="ES250" s="91"/>
      <c r="ET250" s="91"/>
      <c r="EU250" s="91"/>
      <c r="EV250" s="91"/>
      <c r="EW250" s="91"/>
      <c r="EX250" s="91"/>
      <c r="EY250" s="91"/>
      <c r="EZ250" s="91"/>
      <c r="FA250" s="91"/>
      <c r="FB250" s="91"/>
      <c r="FC250" s="91"/>
      <c r="FD250" s="91"/>
      <c r="FE250" s="91"/>
      <c r="FF250" s="91"/>
      <c r="FG250" s="91"/>
      <c r="FH250" s="91"/>
      <c r="FI250" s="91"/>
      <c r="FJ250" s="91"/>
      <c r="FK250" s="91"/>
      <c r="FL250" s="91"/>
      <c r="FM250" s="91"/>
      <c r="FN250" s="91"/>
      <c r="FO250" s="91"/>
      <c r="FP250" s="91"/>
      <c r="FQ250" s="91"/>
      <c r="FR250" s="91"/>
      <c r="FS250" s="91"/>
      <c r="FT250" s="91"/>
      <c r="FU250" s="91"/>
      <c r="FV250" s="91"/>
    </row>
    <row r="251" spans="2:178" s="1" customFormat="1" ht="15.75">
      <c r="B251" s="358"/>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c r="BW251" s="91"/>
      <c r="BX251" s="91"/>
      <c r="BY251" s="91"/>
      <c r="BZ251" s="91"/>
      <c r="CA251" s="91"/>
      <c r="CB251" s="91"/>
      <c r="CC251" s="91"/>
      <c r="CD251" s="91"/>
      <c r="CE251" s="91"/>
      <c r="CF251" s="91"/>
      <c r="CG251" s="91"/>
      <c r="CH251" s="91"/>
      <c r="CI251" s="91"/>
      <c r="CJ251" s="91"/>
      <c r="CK251" s="91"/>
      <c r="CL251" s="91"/>
      <c r="CM251" s="91"/>
      <c r="CN251" s="91"/>
      <c r="CO251" s="91"/>
      <c r="CP251" s="91"/>
      <c r="CQ251" s="91"/>
      <c r="CR251" s="91"/>
      <c r="CS251" s="91"/>
      <c r="CT251" s="91"/>
      <c r="CU251" s="91"/>
      <c r="CV251" s="91"/>
      <c r="CW251" s="91"/>
      <c r="CX251" s="91"/>
      <c r="CY251" s="91"/>
      <c r="CZ251" s="91"/>
      <c r="DA251" s="91"/>
      <c r="DB251" s="91"/>
      <c r="DC251" s="91"/>
      <c r="DD251" s="91"/>
      <c r="DE251" s="91"/>
      <c r="DF251" s="91"/>
      <c r="DG251" s="91"/>
      <c r="DH251" s="91"/>
      <c r="DI251" s="91"/>
      <c r="DJ251" s="91"/>
      <c r="DK251" s="91"/>
      <c r="DL251" s="91"/>
      <c r="DM251" s="91"/>
      <c r="DN251" s="91"/>
      <c r="DO251" s="91"/>
      <c r="DP251" s="91"/>
      <c r="DQ251" s="91"/>
      <c r="DR251" s="91"/>
      <c r="DS251" s="91"/>
      <c r="DT251" s="91"/>
      <c r="DU251" s="91"/>
      <c r="DV251" s="91"/>
      <c r="DW251" s="91"/>
      <c r="DX251" s="91"/>
      <c r="DY251" s="91"/>
      <c r="DZ251" s="91"/>
      <c r="EA251" s="91"/>
      <c r="EB251" s="91"/>
      <c r="EC251" s="91"/>
      <c r="ED251" s="91"/>
      <c r="EE251" s="91"/>
      <c r="EF251" s="91"/>
      <c r="EG251" s="91"/>
      <c r="EH251" s="91"/>
      <c r="EI251" s="91"/>
      <c r="EJ251" s="91"/>
      <c r="EK251" s="91"/>
      <c r="EL251" s="91"/>
      <c r="EM251" s="91"/>
      <c r="EN251" s="91"/>
      <c r="EO251" s="91"/>
      <c r="EP251" s="91"/>
      <c r="EQ251" s="91"/>
      <c r="ER251" s="91"/>
      <c r="ES251" s="91"/>
      <c r="ET251" s="91"/>
      <c r="EU251" s="91"/>
      <c r="EV251" s="91"/>
      <c r="EW251" s="91"/>
      <c r="EX251" s="91"/>
      <c r="EY251" s="91"/>
      <c r="EZ251" s="91"/>
      <c r="FA251" s="91"/>
      <c r="FB251" s="91"/>
      <c r="FC251" s="91"/>
      <c r="FD251" s="91"/>
      <c r="FE251" s="91"/>
      <c r="FF251" s="91"/>
      <c r="FG251" s="91"/>
      <c r="FH251" s="91"/>
      <c r="FI251" s="91"/>
      <c r="FJ251" s="91"/>
      <c r="FK251" s="91"/>
      <c r="FL251" s="91"/>
      <c r="FM251" s="91"/>
      <c r="FN251" s="91"/>
      <c r="FO251" s="91"/>
      <c r="FP251" s="91"/>
      <c r="FQ251" s="91"/>
      <c r="FR251" s="91"/>
      <c r="FS251" s="91"/>
      <c r="FT251" s="91"/>
      <c r="FU251" s="91"/>
      <c r="FV251" s="91"/>
    </row>
    <row r="252" spans="2:178" s="1" customFormat="1" ht="15.75">
      <c r="B252" s="358"/>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91"/>
      <c r="BU252" s="91"/>
      <c r="BV252" s="91"/>
      <c r="BW252" s="91"/>
      <c r="BX252" s="91"/>
      <c r="BY252" s="91"/>
      <c r="BZ252" s="91"/>
      <c r="CA252" s="91"/>
      <c r="CB252" s="91"/>
      <c r="CC252" s="91"/>
      <c r="CD252" s="91"/>
      <c r="CE252" s="91"/>
      <c r="CF252" s="91"/>
      <c r="CG252" s="91"/>
      <c r="CH252" s="91"/>
      <c r="CI252" s="91"/>
      <c r="CJ252" s="91"/>
      <c r="CK252" s="91"/>
      <c r="CL252" s="91"/>
      <c r="CM252" s="91"/>
      <c r="CN252" s="91"/>
      <c r="CO252" s="91"/>
      <c r="CP252" s="91"/>
      <c r="CQ252" s="91"/>
      <c r="CR252" s="91"/>
      <c r="CS252" s="91"/>
      <c r="CT252" s="91"/>
      <c r="CU252" s="91"/>
      <c r="CV252" s="91"/>
      <c r="CW252" s="91"/>
      <c r="CX252" s="91"/>
      <c r="CY252" s="91"/>
      <c r="CZ252" s="91"/>
      <c r="DA252" s="91"/>
      <c r="DB252" s="91"/>
      <c r="DC252" s="91"/>
      <c r="DD252" s="91"/>
      <c r="DE252" s="91"/>
      <c r="DF252" s="91"/>
      <c r="DG252" s="91"/>
      <c r="DH252" s="91"/>
      <c r="DI252" s="91"/>
      <c r="DJ252" s="91"/>
      <c r="DK252" s="91"/>
      <c r="DL252" s="91"/>
      <c r="DM252" s="91"/>
      <c r="DN252" s="91"/>
      <c r="DO252" s="91"/>
      <c r="DP252" s="91"/>
      <c r="DQ252" s="91"/>
      <c r="DR252" s="91"/>
      <c r="DS252" s="91"/>
      <c r="DT252" s="91"/>
      <c r="DU252" s="91"/>
      <c r="DV252" s="91"/>
      <c r="DW252" s="91"/>
      <c r="DX252" s="91"/>
      <c r="DY252" s="91"/>
      <c r="DZ252" s="91"/>
      <c r="EA252" s="91"/>
      <c r="EB252" s="91"/>
      <c r="EC252" s="91"/>
      <c r="ED252" s="91"/>
      <c r="EE252" s="91"/>
      <c r="EF252" s="91"/>
      <c r="EG252" s="91"/>
      <c r="EH252" s="91"/>
      <c r="EI252" s="91"/>
      <c r="EJ252" s="91"/>
      <c r="EK252" s="91"/>
      <c r="EL252" s="91"/>
      <c r="EM252" s="91"/>
      <c r="EN252" s="91"/>
      <c r="EO252" s="91"/>
      <c r="EP252" s="91"/>
      <c r="EQ252" s="91"/>
      <c r="ER252" s="91"/>
      <c r="ES252" s="91"/>
      <c r="ET252" s="91"/>
      <c r="EU252" s="91"/>
      <c r="EV252" s="91"/>
      <c r="EW252" s="91"/>
      <c r="EX252" s="91"/>
      <c r="EY252" s="91"/>
      <c r="EZ252" s="91"/>
      <c r="FA252" s="91"/>
      <c r="FB252" s="91"/>
      <c r="FC252" s="91"/>
      <c r="FD252" s="91"/>
      <c r="FE252" s="91"/>
      <c r="FF252" s="91"/>
      <c r="FG252" s="91"/>
      <c r="FH252" s="91"/>
      <c r="FI252" s="91"/>
      <c r="FJ252" s="91"/>
      <c r="FK252" s="91"/>
      <c r="FL252" s="91"/>
      <c r="FM252" s="91"/>
      <c r="FN252" s="91"/>
      <c r="FO252" s="91"/>
      <c r="FP252" s="91"/>
      <c r="FQ252" s="91"/>
      <c r="FR252" s="91"/>
      <c r="FS252" s="91"/>
      <c r="FT252" s="91"/>
      <c r="FU252" s="91"/>
      <c r="FV252" s="91"/>
    </row>
    <row r="253" spans="2:178" s="1" customFormat="1" ht="15.75">
      <c r="B253" s="358"/>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91"/>
      <c r="BU253" s="91"/>
      <c r="BV253" s="91"/>
      <c r="BW253" s="91"/>
      <c r="BX253" s="91"/>
      <c r="BY253" s="91"/>
      <c r="BZ253" s="91"/>
      <c r="CA253" s="91"/>
      <c r="CB253" s="91"/>
      <c r="CC253" s="91"/>
      <c r="CD253" s="91"/>
      <c r="CE253" s="91"/>
      <c r="CF253" s="91"/>
      <c r="CG253" s="91"/>
      <c r="CH253" s="91"/>
      <c r="CI253" s="91"/>
      <c r="CJ253" s="91"/>
      <c r="CK253" s="91"/>
      <c r="CL253" s="91"/>
      <c r="CM253" s="91"/>
      <c r="CN253" s="91"/>
      <c r="CO253" s="91"/>
      <c r="CP253" s="91"/>
      <c r="CQ253" s="91"/>
      <c r="CR253" s="91"/>
      <c r="CS253" s="91"/>
      <c r="CT253" s="91"/>
      <c r="CU253" s="91"/>
      <c r="CV253" s="91"/>
      <c r="CW253" s="91"/>
      <c r="CX253" s="91"/>
      <c r="CY253" s="91"/>
      <c r="CZ253" s="91"/>
      <c r="DA253" s="91"/>
      <c r="DB253" s="91"/>
      <c r="DC253" s="91"/>
      <c r="DD253" s="91"/>
      <c r="DE253" s="91"/>
      <c r="DF253" s="91"/>
      <c r="DG253" s="91"/>
      <c r="DH253" s="91"/>
      <c r="DI253" s="91"/>
      <c r="DJ253" s="91"/>
      <c r="DK253" s="91"/>
      <c r="DL253" s="91"/>
      <c r="DM253" s="91"/>
      <c r="DN253" s="91"/>
      <c r="DO253" s="91"/>
      <c r="DP253" s="91"/>
      <c r="DQ253" s="91"/>
      <c r="DR253" s="91"/>
      <c r="DS253" s="91"/>
      <c r="DT253" s="91"/>
      <c r="DU253" s="91"/>
      <c r="DV253" s="91"/>
      <c r="DW253" s="91"/>
      <c r="DX253" s="91"/>
      <c r="DY253" s="91"/>
      <c r="DZ253" s="91"/>
      <c r="EA253" s="91"/>
      <c r="EB253" s="91"/>
      <c r="EC253" s="91"/>
      <c r="ED253" s="91"/>
      <c r="EE253" s="91"/>
      <c r="EF253" s="91"/>
      <c r="EG253" s="91"/>
      <c r="EH253" s="91"/>
      <c r="EI253" s="91"/>
      <c r="EJ253" s="91"/>
      <c r="EK253" s="91"/>
      <c r="EL253" s="91"/>
      <c r="EM253" s="91"/>
      <c r="EN253" s="91"/>
      <c r="EO253" s="91"/>
      <c r="EP253" s="91"/>
      <c r="EQ253" s="91"/>
      <c r="ER253" s="91"/>
      <c r="ES253" s="91"/>
      <c r="ET253" s="91"/>
      <c r="EU253" s="91"/>
      <c r="EV253" s="91"/>
      <c r="EW253" s="91"/>
      <c r="EX253" s="91"/>
      <c r="EY253" s="91"/>
      <c r="EZ253" s="91"/>
      <c r="FA253" s="91"/>
      <c r="FB253" s="91"/>
      <c r="FC253" s="91"/>
      <c r="FD253" s="91"/>
      <c r="FE253" s="91"/>
      <c r="FF253" s="91"/>
      <c r="FG253" s="91"/>
      <c r="FH253" s="91"/>
      <c r="FI253" s="91"/>
      <c r="FJ253" s="91"/>
      <c r="FK253" s="91"/>
      <c r="FL253" s="91"/>
      <c r="FM253" s="91"/>
      <c r="FN253" s="91"/>
      <c r="FO253" s="91"/>
      <c r="FP253" s="91"/>
      <c r="FQ253" s="91"/>
      <c r="FR253" s="91"/>
      <c r="FS253" s="91"/>
      <c r="FT253" s="91"/>
      <c r="FU253" s="91"/>
      <c r="FV253" s="91"/>
    </row>
    <row r="254" spans="2:178" s="1" customFormat="1" ht="15.75">
      <c r="B254" s="358"/>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c r="BW254" s="91"/>
      <c r="BX254" s="91"/>
      <c r="BY254" s="91"/>
      <c r="BZ254" s="91"/>
      <c r="CA254" s="91"/>
      <c r="CB254" s="91"/>
      <c r="CC254" s="91"/>
      <c r="CD254" s="91"/>
      <c r="CE254" s="91"/>
      <c r="CF254" s="91"/>
      <c r="CG254" s="91"/>
      <c r="CH254" s="91"/>
      <c r="CI254" s="91"/>
      <c r="CJ254" s="91"/>
      <c r="CK254" s="91"/>
      <c r="CL254" s="91"/>
      <c r="CM254" s="91"/>
      <c r="CN254" s="91"/>
      <c r="CO254" s="91"/>
      <c r="CP254" s="91"/>
      <c r="CQ254" s="91"/>
      <c r="CR254" s="91"/>
      <c r="CS254" s="91"/>
      <c r="CT254" s="91"/>
      <c r="CU254" s="91"/>
      <c r="CV254" s="91"/>
      <c r="CW254" s="91"/>
      <c r="CX254" s="91"/>
      <c r="CY254" s="91"/>
      <c r="CZ254" s="91"/>
      <c r="DA254" s="91"/>
      <c r="DB254" s="91"/>
      <c r="DC254" s="91"/>
      <c r="DD254" s="91"/>
      <c r="DE254" s="91"/>
      <c r="DF254" s="91"/>
      <c r="DG254" s="91"/>
      <c r="DH254" s="91"/>
      <c r="DI254" s="91"/>
      <c r="DJ254" s="91"/>
      <c r="DK254" s="91"/>
      <c r="DL254" s="91"/>
      <c r="DM254" s="91"/>
      <c r="DN254" s="91"/>
      <c r="DO254" s="91"/>
      <c r="DP254" s="91"/>
      <c r="DQ254" s="91"/>
      <c r="DR254" s="91"/>
      <c r="DS254" s="91"/>
      <c r="DT254" s="91"/>
      <c r="DU254" s="91"/>
      <c r="DV254" s="91"/>
      <c r="DW254" s="91"/>
      <c r="DX254" s="91"/>
      <c r="DY254" s="91"/>
      <c r="DZ254" s="91"/>
      <c r="EA254" s="91"/>
      <c r="EB254" s="91"/>
      <c r="EC254" s="91"/>
      <c r="ED254" s="91"/>
      <c r="EE254" s="91"/>
      <c r="EF254" s="91"/>
      <c r="EG254" s="91"/>
      <c r="EH254" s="91"/>
      <c r="EI254" s="91"/>
      <c r="EJ254" s="91"/>
      <c r="EK254" s="91"/>
      <c r="EL254" s="91"/>
      <c r="EM254" s="91"/>
      <c r="EN254" s="91"/>
      <c r="EO254" s="91"/>
      <c r="EP254" s="91"/>
      <c r="EQ254" s="91"/>
      <c r="ER254" s="91"/>
      <c r="ES254" s="91"/>
      <c r="ET254" s="91"/>
      <c r="EU254" s="91"/>
      <c r="EV254" s="91"/>
      <c r="EW254" s="91"/>
      <c r="EX254" s="91"/>
      <c r="EY254" s="91"/>
      <c r="EZ254" s="91"/>
      <c r="FA254" s="91"/>
      <c r="FB254" s="91"/>
      <c r="FC254" s="91"/>
      <c r="FD254" s="91"/>
      <c r="FE254" s="91"/>
      <c r="FF254" s="91"/>
      <c r="FG254" s="91"/>
      <c r="FH254" s="91"/>
      <c r="FI254" s="91"/>
      <c r="FJ254" s="91"/>
      <c r="FK254" s="91"/>
      <c r="FL254" s="91"/>
      <c r="FM254" s="91"/>
      <c r="FN254" s="91"/>
      <c r="FO254" s="91"/>
      <c r="FP254" s="91"/>
      <c r="FQ254" s="91"/>
      <c r="FR254" s="91"/>
      <c r="FS254" s="91"/>
      <c r="FT254" s="91"/>
      <c r="FU254" s="91"/>
      <c r="FV254" s="91"/>
    </row>
    <row r="255" spans="2:178" s="1" customFormat="1" ht="15.75">
      <c r="B255" s="358"/>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c r="BU255" s="91"/>
      <c r="BV255" s="91"/>
      <c r="BW255" s="91"/>
      <c r="BX255" s="91"/>
      <c r="BY255" s="91"/>
      <c r="BZ255" s="91"/>
      <c r="CA255" s="91"/>
      <c r="CB255" s="91"/>
      <c r="CC255" s="91"/>
      <c r="CD255" s="91"/>
      <c r="CE255" s="91"/>
      <c r="CF255" s="91"/>
      <c r="CG255" s="91"/>
      <c r="CH255" s="91"/>
      <c r="CI255" s="91"/>
      <c r="CJ255" s="91"/>
      <c r="CK255" s="91"/>
      <c r="CL255" s="91"/>
      <c r="CM255" s="91"/>
      <c r="CN255" s="91"/>
      <c r="CO255" s="91"/>
      <c r="CP255" s="91"/>
      <c r="CQ255" s="91"/>
      <c r="CR255" s="91"/>
      <c r="CS255" s="91"/>
      <c r="CT255" s="91"/>
      <c r="CU255" s="91"/>
      <c r="CV255" s="91"/>
      <c r="CW255" s="91"/>
      <c r="CX255" s="91"/>
      <c r="CY255" s="91"/>
      <c r="CZ255" s="91"/>
      <c r="DA255" s="91"/>
      <c r="DB255" s="91"/>
      <c r="DC255" s="91"/>
      <c r="DD255" s="91"/>
      <c r="DE255" s="91"/>
      <c r="DF255" s="91"/>
      <c r="DG255" s="91"/>
      <c r="DH255" s="91"/>
      <c r="DI255" s="91"/>
      <c r="DJ255" s="91"/>
      <c r="DK255" s="91"/>
      <c r="DL255" s="91"/>
      <c r="DM255" s="91"/>
      <c r="DN255" s="91"/>
      <c r="DO255" s="91"/>
      <c r="DP255" s="91"/>
      <c r="DQ255" s="91"/>
      <c r="DR255" s="91"/>
      <c r="DS255" s="91"/>
      <c r="DT255" s="91"/>
      <c r="DU255" s="91"/>
      <c r="DV255" s="91"/>
      <c r="DW255" s="91"/>
      <c r="DX255" s="91"/>
      <c r="DY255" s="91"/>
      <c r="DZ255" s="91"/>
      <c r="EA255" s="91"/>
      <c r="EB255" s="91"/>
      <c r="EC255" s="91"/>
      <c r="ED255" s="91"/>
      <c r="EE255" s="91"/>
      <c r="EF255" s="91"/>
      <c r="EG255" s="91"/>
      <c r="EH255" s="91"/>
      <c r="EI255" s="91"/>
      <c r="EJ255" s="91"/>
      <c r="EK255" s="91"/>
      <c r="EL255" s="91"/>
      <c r="EM255" s="91"/>
      <c r="EN255" s="91"/>
      <c r="EO255" s="91"/>
      <c r="EP255" s="91"/>
      <c r="EQ255" s="91"/>
      <c r="ER255" s="91"/>
      <c r="ES255" s="91"/>
      <c r="ET255" s="91"/>
      <c r="EU255" s="91"/>
      <c r="EV255" s="91"/>
      <c r="EW255" s="91"/>
      <c r="EX255" s="91"/>
      <c r="EY255" s="91"/>
      <c r="EZ255" s="91"/>
      <c r="FA255" s="91"/>
      <c r="FB255" s="91"/>
      <c r="FC255" s="91"/>
      <c r="FD255" s="91"/>
      <c r="FE255" s="91"/>
      <c r="FF255" s="91"/>
      <c r="FG255" s="91"/>
      <c r="FH255" s="91"/>
      <c r="FI255" s="91"/>
      <c r="FJ255" s="91"/>
      <c r="FK255" s="91"/>
      <c r="FL255" s="91"/>
      <c r="FM255" s="91"/>
      <c r="FN255" s="91"/>
      <c r="FO255" s="91"/>
      <c r="FP255" s="91"/>
      <c r="FQ255" s="91"/>
      <c r="FR255" s="91"/>
      <c r="FS255" s="91"/>
      <c r="FT255" s="91"/>
      <c r="FU255" s="91"/>
      <c r="FV255" s="91"/>
    </row>
    <row r="256" spans="2:178" s="1" customFormat="1" ht="15.75">
      <c r="B256" s="358"/>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c r="CD256" s="91"/>
      <c r="CE256" s="91"/>
      <c r="CF256" s="91"/>
      <c r="CG256" s="91"/>
      <c r="CH256" s="91"/>
      <c r="CI256" s="91"/>
      <c r="CJ256" s="91"/>
      <c r="CK256" s="91"/>
      <c r="CL256" s="91"/>
      <c r="CM256" s="91"/>
      <c r="CN256" s="91"/>
      <c r="CO256" s="91"/>
      <c r="CP256" s="91"/>
      <c r="CQ256" s="91"/>
      <c r="CR256" s="91"/>
      <c r="CS256" s="91"/>
      <c r="CT256" s="91"/>
      <c r="CU256" s="91"/>
      <c r="CV256" s="91"/>
      <c r="CW256" s="91"/>
      <c r="CX256" s="91"/>
      <c r="CY256" s="91"/>
      <c r="CZ256" s="91"/>
      <c r="DA256" s="91"/>
      <c r="DB256" s="91"/>
      <c r="DC256" s="91"/>
      <c r="DD256" s="91"/>
      <c r="DE256" s="91"/>
      <c r="DF256" s="91"/>
      <c r="DG256" s="91"/>
      <c r="DH256" s="91"/>
      <c r="DI256" s="91"/>
      <c r="DJ256" s="91"/>
      <c r="DK256" s="91"/>
      <c r="DL256" s="91"/>
      <c r="DM256" s="91"/>
      <c r="DN256" s="91"/>
      <c r="DO256" s="91"/>
      <c r="DP256" s="91"/>
      <c r="DQ256" s="91"/>
      <c r="DR256" s="91"/>
      <c r="DS256" s="91"/>
      <c r="DT256" s="91"/>
      <c r="DU256" s="91"/>
      <c r="DV256" s="91"/>
      <c r="DW256" s="91"/>
      <c r="DX256" s="91"/>
      <c r="DY256" s="91"/>
      <c r="DZ256" s="91"/>
      <c r="EA256" s="91"/>
      <c r="EB256" s="91"/>
      <c r="EC256" s="91"/>
      <c r="ED256" s="91"/>
      <c r="EE256" s="91"/>
      <c r="EF256" s="91"/>
      <c r="EG256" s="91"/>
      <c r="EH256" s="91"/>
      <c r="EI256" s="91"/>
      <c r="EJ256" s="91"/>
      <c r="EK256" s="91"/>
      <c r="EL256" s="91"/>
      <c r="EM256" s="91"/>
      <c r="EN256" s="91"/>
      <c r="EO256" s="91"/>
      <c r="EP256" s="91"/>
      <c r="EQ256" s="91"/>
      <c r="ER256" s="91"/>
      <c r="ES256" s="91"/>
      <c r="ET256" s="91"/>
      <c r="EU256" s="91"/>
      <c r="EV256" s="91"/>
      <c r="EW256" s="91"/>
      <c r="EX256" s="91"/>
      <c r="EY256" s="91"/>
      <c r="EZ256" s="91"/>
      <c r="FA256" s="91"/>
      <c r="FB256" s="91"/>
      <c r="FC256" s="91"/>
      <c r="FD256" s="91"/>
      <c r="FE256" s="91"/>
      <c r="FF256" s="91"/>
      <c r="FG256" s="91"/>
      <c r="FH256" s="91"/>
      <c r="FI256" s="91"/>
      <c r="FJ256" s="91"/>
      <c r="FK256" s="91"/>
      <c r="FL256" s="91"/>
      <c r="FM256" s="91"/>
      <c r="FN256" s="91"/>
      <c r="FO256" s="91"/>
      <c r="FP256" s="91"/>
      <c r="FQ256" s="91"/>
      <c r="FR256" s="91"/>
      <c r="FS256" s="91"/>
      <c r="FT256" s="91"/>
      <c r="FU256" s="91"/>
      <c r="FV256" s="91"/>
    </row>
    <row r="257" spans="2:178" s="1" customFormat="1" ht="15.75">
      <c r="B257" s="358"/>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c r="CD257" s="91"/>
      <c r="CE257" s="91"/>
      <c r="CF257" s="91"/>
      <c r="CG257" s="91"/>
      <c r="CH257" s="91"/>
      <c r="CI257" s="91"/>
      <c r="CJ257" s="91"/>
      <c r="CK257" s="91"/>
      <c r="CL257" s="91"/>
      <c r="CM257" s="91"/>
      <c r="CN257" s="91"/>
      <c r="CO257" s="91"/>
      <c r="CP257" s="91"/>
      <c r="CQ257" s="91"/>
      <c r="CR257" s="91"/>
      <c r="CS257" s="91"/>
      <c r="CT257" s="91"/>
      <c r="CU257" s="91"/>
      <c r="CV257" s="91"/>
      <c r="CW257" s="91"/>
      <c r="CX257" s="91"/>
      <c r="CY257" s="91"/>
      <c r="CZ257" s="91"/>
      <c r="DA257" s="91"/>
      <c r="DB257" s="91"/>
      <c r="DC257" s="91"/>
      <c r="DD257" s="91"/>
      <c r="DE257" s="91"/>
      <c r="DF257" s="91"/>
      <c r="DG257" s="91"/>
      <c r="DH257" s="91"/>
      <c r="DI257" s="91"/>
      <c r="DJ257" s="91"/>
      <c r="DK257" s="91"/>
      <c r="DL257" s="91"/>
      <c r="DM257" s="91"/>
      <c r="DN257" s="91"/>
      <c r="DO257" s="91"/>
      <c r="DP257" s="91"/>
      <c r="DQ257" s="91"/>
      <c r="DR257" s="91"/>
      <c r="DS257" s="91"/>
      <c r="DT257" s="91"/>
      <c r="DU257" s="91"/>
      <c r="DV257" s="91"/>
      <c r="DW257" s="91"/>
      <c r="DX257" s="91"/>
      <c r="DY257" s="91"/>
      <c r="DZ257" s="91"/>
      <c r="EA257" s="91"/>
      <c r="EB257" s="91"/>
      <c r="EC257" s="91"/>
      <c r="ED257" s="91"/>
      <c r="EE257" s="91"/>
      <c r="EF257" s="91"/>
      <c r="EG257" s="91"/>
      <c r="EH257" s="91"/>
      <c r="EI257" s="91"/>
      <c r="EJ257" s="91"/>
      <c r="EK257" s="91"/>
      <c r="EL257" s="91"/>
      <c r="EM257" s="91"/>
      <c r="EN257" s="91"/>
      <c r="EO257" s="91"/>
      <c r="EP257" s="91"/>
      <c r="EQ257" s="91"/>
      <c r="ER257" s="91"/>
      <c r="ES257" s="91"/>
      <c r="ET257" s="91"/>
      <c r="EU257" s="91"/>
      <c r="EV257" s="91"/>
      <c r="EW257" s="91"/>
      <c r="EX257" s="91"/>
      <c r="EY257" s="91"/>
      <c r="EZ257" s="91"/>
      <c r="FA257" s="91"/>
      <c r="FB257" s="91"/>
      <c r="FC257" s="91"/>
      <c r="FD257" s="91"/>
      <c r="FE257" s="91"/>
      <c r="FF257" s="91"/>
      <c r="FG257" s="91"/>
      <c r="FH257" s="91"/>
      <c r="FI257" s="91"/>
      <c r="FJ257" s="91"/>
      <c r="FK257" s="91"/>
      <c r="FL257" s="91"/>
      <c r="FM257" s="91"/>
      <c r="FN257" s="91"/>
      <c r="FO257" s="91"/>
      <c r="FP257" s="91"/>
      <c r="FQ257" s="91"/>
      <c r="FR257" s="91"/>
      <c r="FS257" s="91"/>
      <c r="FT257" s="91"/>
      <c r="FU257" s="91"/>
      <c r="FV257" s="91"/>
    </row>
    <row r="258" spans="2:178" s="1" customFormat="1" ht="15.75">
      <c r="B258" s="358"/>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c r="CD258" s="91"/>
      <c r="CE258" s="91"/>
      <c r="CF258" s="91"/>
      <c r="CG258" s="91"/>
      <c r="CH258" s="91"/>
      <c r="CI258" s="91"/>
      <c r="CJ258" s="91"/>
      <c r="CK258" s="91"/>
      <c r="CL258" s="91"/>
      <c r="CM258" s="91"/>
      <c r="CN258" s="91"/>
      <c r="CO258" s="91"/>
      <c r="CP258" s="91"/>
      <c r="CQ258" s="91"/>
      <c r="CR258" s="91"/>
      <c r="CS258" s="91"/>
      <c r="CT258" s="91"/>
      <c r="CU258" s="91"/>
      <c r="CV258" s="91"/>
      <c r="CW258" s="91"/>
      <c r="CX258" s="91"/>
      <c r="CY258" s="91"/>
      <c r="CZ258" s="91"/>
      <c r="DA258" s="91"/>
      <c r="DB258" s="91"/>
      <c r="DC258" s="91"/>
      <c r="DD258" s="91"/>
      <c r="DE258" s="91"/>
      <c r="DF258" s="91"/>
      <c r="DG258" s="91"/>
      <c r="DH258" s="91"/>
      <c r="DI258" s="91"/>
      <c r="DJ258" s="91"/>
      <c r="DK258" s="91"/>
      <c r="DL258" s="91"/>
      <c r="DM258" s="91"/>
      <c r="DN258" s="91"/>
      <c r="DO258" s="91"/>
      <c r="DP258" s="91"/>
      <c r="DQ258" s="91"/>
      <c r="DR258" s="91"/>
      <c r="DS258" s="91"/>
      <c r="DT258" s="91"/>
      <c r="DU258" s="91"/>
      <c r="DV258" s="91"/>
      <c r="DW258" s="91"/>
      <c r="DX258" s="91"/>
      <c r="DY258" s="91"/>
      <c r="DZ258" s="91"/>
      <c r="EA258" s="91"/>
      <c r="EB258" s="91"/>
      <c r="EC258" s="91"/>
      <c r="ED258" s="91"/>
      <c r="EE258" s="91"/>
      <c r="EF258" s="91"/>
      <c r="EG258" s="91"/>
      <c r="EH258" s="91"/>
      <c r="EI258" s="91"/>
      <c r="EJ258" s="91"/>
      <c r="EK258" s="91"/>
      <c r="EL258" s="91"/>
      <c r="EM258" s="91"/>
      <c r="EN258" s="91"/>
      <c r="EO258" s="91"/>
      <c r="EP258" s="91"/>
      <c r="EQ258" s="91"/>
      <c r="ER258" s="91"/>
      <c r="ES258" s="91"/>
      <c r="ET258" s="91"/>
      <c r="EU258" s="91"/>
      <c r="EV258" s="91"/>
      <c r="EW258" s="91"/>
      <c r="EX258" s="91"/>
      <c r="EY258" s="91"/>
      <c r="EZ258" s="91"/>
      <c r="FA258" s="91"/>
      <c r="FB258" s="91"/>
      <c r="FC258" s="91"/>
      <c r="FD258" s="91"/>
      <c r="FE258" s="91"/>
      <c r="FF258" s="91"/>
      <c r="FG258" s="91"/>
      <c r="FH258" s="91"/>
      <c r="FI258" s="91"/>
      <c r="FJ258" s="91"/>
      <c r="FK258" s="91"/>
      <c r="FL258" s="91"/>
      <c r="FM258" s="91"/>
      <c r="FN258" s="91"/>
      <c r="FO258" s="91"/>
      <c r="FP258" s="91"/>
      <c r="FQ258" s="91"/>
      <c r="FR258" s="91"/>
      <c r="FS258" s="91"/>
      <c r="FT258" s="91"/>
      <c r="FU258" s="91"/>
      <c r="FV258" s="91"/>
    </row>
    <row r="259" spans="2:178" s="1" customFormat="1" ht="15.75">
      <c r="B259" s="358"/>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c r="CD259" s="91"/>
      <c r="CE259" s="91"/>
      <c r="CF259" s="91"/>
      <c r="CG259" s="91"/>
      <c r="CH259" s="91"/>
      <c r="CI259" s="91"/>
      <c r="CJ259" s="91"/>
      <c r="CK259" s="91"/>
      <c r="CL259" s="91"/>
      <c r="CM259" s="91"/>
      <c r="CN259" s="91"/>
      <c r="CO259" s="91"/>
      <c r="CP259" s="91"/>
      <c r="CQ259" s="91"/>
      <c r="CR259" s="91"/>
      <c r="CS259" s="91"/>
      <c r="CT259" s="91"/>
      <c r="CU259" s="91"/>
      <c r="CV259" s="91"/>
      <c r="CW259" s="91"/>
      <c r="CX259" s="91"/>
      <c r="CY259" s="91"/>
      <c r="CZ259" s="91"/>
      <c r="DA259" s="91"/>
      <c r="DB259" s="91"/>
      <c r="DC259" s="91"/>
      <c r="DD259" s="91"/>
      <c r="DE259" s="91"/>
      <c r="DF259" s="91"/>
      <c r="DG259" s="91"/>
      <c r="DH259" s="91"/>
      <c r="DI259" s="91"/>
      <c r="DJ259" s="91"/>
      <c r="DK259" s="91"/>
      <c r="DL259" s="91"/>
      <c r="DM259" s="91"/>
      <c r="DN259" s="91"/>
      <c r="DO259" s="91"/>
      <c r="DP259" s="91"/>
      <c r="DQ259" s="91"/>
      <c r="DR259" s="91"/>
      <c r="DS259" s="91"/>
      <c r="DT259" s="91"/>
      <c r="DU259" s="91"/>
      <c r="DV259" s="91"/>
      <c r="DW259" s="91"/>
      <c r="DX259" s="91"/>
      <c r="DY259" s="91"/>
      <c r="DZ259" s="91"/>
      <c r="EA259" s="91"/>
      <c r="EB259" s="91"/>
      <c r="EC259" s="91"/>
      <c r="ED259" s="91"/>
      <c r="EE259" s="91"/>
      <c r="EF259" s="91"/>
      <c r="EG259" s="91"/>
      <c r="EH259" s="91"/>
      <c r="EI259" s="91"/>
      <c r="EJ259" s="91"/>
      <c r="EK259" s="91"/>
      <c r="EL259" s="91"/>
      <c r="EM259" s="91"/>
      <c r="EN259" s="91"/>
      <c r="EO259" s="91"/>
      <c r="EP259" s="91"/>
      <c r="EQ259" s="91"/>
      <c r="ER259" s="91"/>
      <c r="ES259" s="91"/>
      <c r="ET259" s="91"/>
      <c r="EU259" s="91"/>
      <c r="EV259" s="91"/>
      <c r="EW259" s="91"/>
      <c r="EX259" s="91"/>
      <c r="EY259" s="91"/>
      <c r="EZ259" s="91"/>
      <c r="FA259" s="91"/>
      <c r="FB259" s="91"/>
      <c r="FC259" s="91"/>
      <c r="FD259" s="91"/>
      <c r="FE259" s="91"/>
      <c r="FF259" s="91"/>
      <c r="FG259" s="91"/>
      <c r="FH259" s="91"/>
      <c r="FI259" s="91"/>
      <c r="FJ259" s="91"/>
      <c r="FK259" s="91"/>
      <c r="FL259" s="91"/>
      <c r="FM259" s="91"/>
      <c r="FN259" s="91"/>
      <c r="FO259" s="91"/>
      <c r="FP259" s="91"/>
      <c r="FQ259" s="91"/>
      <c r="FR259" s="91"/>
      <c r="FS259" s="91"/>
      <c r="FT259" s="91"/>
      <c r="FU259" s="91"/>
      <c r="FV259" s="91"/>
    </row>
    <row r="260" spans="2:178" s="1" customFormat="1" ht="15.75">
      <c r="B260" s="358"/>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91"/>
      <c r="BU260" s="91"/>
      <c r="BV260" s="91"/>
      <c r="BW260" s="91"/>
      <c r="BX260" s="91"/>
      <c r="BY260" s="91"/>
      <c r="BZ260" s="91"/>
      <c r="CA260" s="91"/>
      <c r="CB260" s="91"/>
      <c r="CC260" s="91"/>
      <c r="CD260" s="91"/>
      <c r="CE260" s="91"/>
      <c r="CF260" s="91"/>
      <c r="CG260" s="91"/>
      <c r="CH260" s="91"/>
      <c r="CI260" s="91"/>
      <c r="CJ260" s="91"/>
      <c r="CK260" s="91"/>
      <c r="CL260" s="91"/>
      <c r="CM260" s="91"/>
      <c r="CN260" s="91"/>
      <c r="CO260" s="91"/>
      <c r="CP260" s="91"/>
      <c r="CQ260" s="91"/>
      <c r="CR260" s="91"/>
      <c r="CS260" s="91"/>
      <c r="CT260" s="91"/>
      <c r="CU260" s="91"/>
      <c r="CV260" s="91"/>
      <c r="CW260" s="91"/>
      <c r="CX260" s="91"/>
      <c r="CY260" s="91"/>
      <c r="CZ260" s="91"/>
      <c r="DA260" s="91"/>
      <c r="DB260" s="91"/>
      <c r="DC260" s="91"/>
      <c r="DD260" s="91"/>
      <c r="DE260" s="91"/>
      <c r="DF260" s="91"/>
      <c r="DG260" s="91"/>
      <c r="DH260" s="91"/>
      <c r="DI260" s="91"/>
      <c r="DJ260" s="91"/>
      <c r="DK260" s="91"/>
      <c r="DL260" s="91"/>
      <c r="DM260" s="91"/>
      <c r="DN260" s="91"/>
      <c r="DO260" s="91"/>
      <c r="DP260" s="91"/>
      <c r="DQ260" s="91"/>
      <c r="DR260" s="91"/>
      <c r="DS260" s="91"/>
      <c r="DT260" s="91"/>
      <c r="DU260" s="91"/>
      <c r="DV260" s="91"/>
      <c r="DW260" s="91"/>
      <c r="DX260" s="91"/>
      <c r="DY260" s="91"/>
      <c r="DZ260" s="91"/>
      <c r="EA260" s="91"/>
      <c r="EB260" s="91"/>
      <c r="EC260" s="91"/>
      <c r="ED260" s="91"/>
      <c r="EE260" s="91"/>
      <c r="EF260" s="91"/>
      <c r="EG260" s="91"/>
      <c r="EH260" s="91"/>
      <c r="EI260" s="91"/>
      <c r="EJ260" s="91"/>
      <c r="EK260" s="91"/>
      <c r="EL260" s="91"/>
      <c r="EM260" s="91"/>
      <c r="EN260" s="91"/>
      <c r="EO260" s="91"/>
      <c r="EP260" s="91"/>
      <c r="EQ260" s="91"/>
      <c r="ER260" s="91"/>
      <c r="ES260" s="91"/>
      <c r="ET260" s="91"/>
      <c r="EU260" s="91"/>
      <c r="EV260" s="91"/>
      <c r="EW260" s="91"/>
      <c r="EX260" s="91"/>
      <c r="EY260" s="91"/>
      <c r="EZ260" s="91"/>
      <c r="FA260" s="91"/>
      <c r="FB260" s="91"/>
      <c r="FC260" s="91"/>
      <c r="FD260" s="91"/>
      <c r="FE260" s="91"/>
      <c r="FF260" s="91"/>
      <c r="FG260" s="91"/>
      <c r="FH260" s="91"/>
      <c r="FI260" s="91"/>
      <c r="FJ260" s="91"/>
      <c r="FK260" s="91"/>
      <c r="FL260" s="91"/>
      <c r="FM260" s="91"/>
      <c r="FN260" s="91"/>
      <c r="FO260" s="91"/>
      <c r="FP260" s="91"/>
      <c r="FQ260" s="91"/>
      <c r="FR260" s="91"/>
      <c r="FS260" s="91"/>
      <c r="FT260" s="91"/>
      <c r="FU260" s="91"/>
      <c r="FV260" s="91"/>
    </row>
    <row r="261" spans="2:178" s="1" customFormat="1" ht="15.75">
      <c r="B261" s="358"/>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91"/>
      <c r="CI261" s="91"/>
      <c r="CJ261" s="91"/>
      <c r="CK261" s="91"/>
      <c r="CL261" s="91"/>
      <c r="CM261" s="91"/>
      <c r="CN261" s="91"/>
      <c r="CO261" s="91"/>
      <c r="CP261" s="91"/>
      <c r="CQ261" s="91"/>
      <c r="CR261" s="91"/>
      <c r="CS261" s="91"/>
      <c r="CT261" s="91"/>
      <c r="CU261" s="91"/>
      <c r="CV261" s="91"/>
      <c r="CW261" s="91"/>
      <c r="CX261" s="91"/>
      <c r="CY261" s="91"/>
      <c r="CZ261" s="91"/>
      <c r="DA261" s="91"/>
      <c r="DB261" s="91"/>
      <c r="DC261" s="91"/>
      <c r="DD261" s="91"/>
      <c r="DE261" s="91"/>
      <c r="DF261" s="91"/>
      <c r="DG261" s="91"/>
      <c r="DH261" s="91"/>
      <c r="DI261" s="91"/>
      <c r="DJ261" s="91"/>
      <c r="DK261" s="91"/>
      <c r="DL261" s="91"/>
      <c r="DM261" s="91"/>
      <c r="DN261" s="91"/>
      <c r="DO261" s="91"/>
      <c r="DP261" s="91"/>
      <c r="DQ261" s="91"/>
      <c r="DR261" s="91"/>
      <c r="DS261" s="91"/>
      <c r="DT261" s="91"/>
      <c r="DU261" s="91"/>
      <c r="DV261" s="91"/>
      <c r="DW261" s="91"/>
      <c r="DX261" s="91"/>
      <c r="DY261" s="91"/>
      <c r="DZ261" s="91"/>
      <c r="EA261" s="91"/>
      <c r="EB261" s="91"/>
      <c r="EC261" s="91"/>
      <c r="ED261" s="91"/>
      <c r="EE261" s="91"/>
      <c r="EF261" s="91"/>
      <c r="EG261" s="91"/>
      <c r="EH261" s="91"/>
      <c r="EI261" s="91"/>
      <c r="EJ261" s="91"/>
      <c r="EK261" s="91"/>
      <c r="EL261" s="91"/>
      <c r="EM261" s="91"/>
      <c r="EN261" s="91"/>
      <c r="EO261" s="91"/>
      <c r="EP261" s="91"/>
      <c r="EQ261" s="91"/>
      <c r="ER261" s="91"/>
      <c r="ES261" s="91"/>
      <c r="ET261" s="91"/>
      <c r="EU261" s="91"/>
      <c r="EV261" s="91"/>
      <c r="EW261" s="91"/>
      <c r="EX261" s="91"/>
      <c r="EY261" s="91"/>
      <c r="EZ261" s="91"/>
      <c r="FA261" s="91"/>
      <c r="FB261" s="91"/>
      <c r="FC261" s="91"/>
      <c r="FD261" s="91"/>
      <c r="FE261" s="91"/>
      <c r="FF261" s="91"/>
      <c r="FG261" s="91"/>
      <c r="FH261" s="91"/>
      <c r="FI261" s="91"/>
      <c r="FJ261" s="91"/>
      <c r="FK261" s="91"/>
      <c r="FL261" s="91"/>
      <c r="FM261" s="91"/>
      <c r="FN261" s="91"/>
      <c r="FO261" s="91"/>
      <c r="FP261" s="91"/>
      <c r="FQ261" s="91"/>
      <c r="FR261" s="91"/>
      <c r="FS261" s="91"/>
      <c r="FT261" s="91"/>
      <c r="FU261" s="91"/>
      <c r="FV261" s="91"/>
    </row>
    <row r="262" spans="2:178" s="1" customFormat="1" ht="15.75">
      <c r="B262" s="358"/>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91"/>
      <c r="CI262" s="91"/>
      <c r="CJ262" s="91"/>
      <c r="CK262" s="91"/>
      <c r="CL262" s="91"/>
      <c r="CM262" s="91"/>
      <c r="CN262" s="91"/>
      <c r="CO262" s="91"/>
      <c r="CP262" s="91"/>
      <c r="CQ262" s="91"/>
      <c r="CR262" s="91"/>
      <c r="CS262" s="91"/>
      <c r="CT262" s="91"/>
      <c r="CU262" s="91"/>
      <c r="CV262" s="91"/>
      <c r="CW262" s="91"/>
      <c r="CX262" s="91"/>
      <c r="CY262" s="91"/>
      <c r="CZ262" s="91"/>
      <c r="DA262" s="91"/>
      <c r="DB262" s="91"/>
      <c r="DC262" s="91"/>
      <c r="DD262" s="91"/>
      <c r="DE262" s="91"/>
      <c r="DF262" s="91"/>
      <c r="DG262" s="91"/>
      <c r="DH262" s="91"/>
      <c r="DI262" s="91"/>
      <c r="DJ262" s="91"/>
      <c r="DK262" s="91"/>
      <c r="DL262" s="91"/>
      <c r="DM262" s="91"/>
      <c r="DN262" s="91"/>
      <c r="DO262" s="91"/>
      <c r="DP262" s="91"/>
      <c r="DQ262" s="91"/>
      <c r="DR262" s="91"/>
      <c r="DS262" s="91"/>
      <c r="DT262" s="91"/>
      <c r="DU262" s="91"/>
      <c r="DV262" s="91"/>
      <c r="DW262" s="91"/>
      <c r="DX262" s="91"/>
      <c r="DY262" s="91"/>
      <c r="DZ262" s="91"/>
      <c r="EA262" s="91"/>
      <c r="EB262" s="91"/>
      <c r="EC262" s="91"/>
      <c r="ED262" s="91"/>
      <c r="EE262" s="91"/>
      <c r="EF262" s="91"/>
      <c r="EG262" s="91"/>
      <c r="EH262" s="91"/>
      <c r="EI262" s="91"/>
      <c r="EJ262" s="91"/>
      <c r="EK262" s="91"/>
      <c r="EL262" s="91"/>
      <c r="EM262" s="91"/>
      <c r="EN262" s="91"/>
      <c r="EO262" s="91"/>
      <c r="EP262" s="91"/>
      <c r="EQ262" s="91"/>
      <c r="ER262" s="91"/>
      <c r="ES262" s="91"/>
      <c r="ET262" s="91"/>
      <c r="EU262" s="91"/>
      <c r="EV262" s="91"/>
      <c r="EW262" s="91"/>
      <c r="EX262" s="91"/>
      <c r="EY262" s="91"/>
      <c r="EZ262" s="91"/>
      <c r="FA262" s="91"/>
      <c r="FB262" s="91"/>
      <c r="FC262" s="91"/>
      <c r="FD262" s="91"/>
      <c r="FE262" s="91"/>
      <c r="FF262" s="91"/>
      <c r="FG262" s="91"/>
      <c r="FH262" s="91"/>
      <c r="FI262" s="91"/>
      <c r="FJ262" s="91"/>
      <c r="FK262" s="91"/>
      <c r="FL262" s="91"/>
      <c r="FM262" s="91"/>
      <c r="FN262" s="91"/>
      <c r="FO262" s="91"/>
      <c r="FP262" s="91"/>
      <c r="FQ262" s="91"/>
      <c r="FR262" s="91"/>
      <c r="FS262" s="91"/>
      <c r="FT262" s="91"/>
      <c r="FU262" s="91"/>
      <c r="FV262" s="91"/>
    </row>
    <row r="263" spans="2:178" s="1" customFormat="1" ht="15.75">
      <c r="B263" s="358"/>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91"/>
      <c r="BU263" s="91"/>
      <c r="BV263" s="91"/>
      <c r="BW263" s="91"/>
      <c r="BX263" s="91"/>
      <c r="BY263" s="91"/>
      <c r="BZ263" s="91"/>
      <c r="CA263" s="91"/>
      <c r="CB263" s="91"/>
      <c r="CC263" s="91"/>
      <c r="CD263" s="91"/>
      <c r="CE263" s="91"/>
      <c r="CF263" s="91"/>
      <c r="CG263" s="91"/>
      <c r="CH263" s="91"/>
      <c r="CI263" s="91"/>
      <c r="CJ263" s="91"/>
      <c r="CK263" s="91"/>
      <c r="CL263" s="91"/>
      <c r="CM263" s="91"/>
      <c r="CN263" s="91"/>
      <c r="CO263" s="91"/>
      <c r="CP263" s="91"/>
      <c r="CQ263" s="91"/>
      <c r="CR263" s="91"/>
      <c r="CS263" s="91"/>
      <c r="CT263" s="91"/>
      <c r="CU263" s="91"/>
      <c r="CV263" s="91"/>
      <c r="CW263" s="91"/>
      <c r="CX263" s="91"/>
      <c r="CY263" s="91"/>
      <c r="CZ263" s="91"/>
      <c r="DA263" s="91"/>
      <c r="DB263" s="91"/>
      <c r="DC263" s="91"/>
      <c r="DD263" s="91"/>
      <c r="DE263" s="91"/>
      <c r="DF263" s="91"/>
      <c r="DG263" s="91"/>
      <c r="DH263" s="91"/>
      <c r="DI263" s="91"/>
      <c r="DJ263" s="91"/>
      <c r="DK263" s="91"/>
      <c r="DL263" s="91"/>
      <c r="DM263" s="91"/>
      <c r="DN263" s="91"/>
      <c r="DO263" s="91"/>
      <c r="DP263" s="91"/>
      <c r="DQ263" s="91"/>
      <c r="DR263" s="91"/>
      <c r="DS263" s="91"/>
      <c r="DT263" s="91"/>
      <c r="DU263" s="91"/>
      <c r="DV263" s="91"/>
      <c r="DW263" s="91"/>
      <c r="DX263" s="91"/>
      <c r="DY263" s="91"/>
      <c r="DZ263" s="91"/>
      <c r="EA263" s="91"/>
      <c r="EB263" s="91"/>
      <c r="EC263" s="91"/>
      <c r="ED263" s="91"/>
      <c r="EE263" s="91"/>
      <c r="EF263" s="91"/>
      <c r="EG263" s="91"/>
      <c r="EH263" s="91"/>
      <c r="EI263" s="91"/>
      <c r="EJ263" s="91"/>
      <c r="EK263" s="91"/>
      <c r="EL263" s="91"/>
      <c r="EM263" s="91"/>
      <c r="EN263" s="91"/>
      <c r="EO263" s="91"/>
      <c r="EP263" s="91"/>
      <c r="EQ263" s="91"/>
      <c r="ER263" s="91"/>
      <c r="ES263" s="91"/>
      <c r="ET263" s="91"/>
      <c r="EU263" s="91"/>
      <c r="EV263" s="91"/>
      <c r="EW263" s="91"/>
      <c r="EX263" s="91"/>
      <c r="EY263" s="91"/>
      <c r="EZ263" s="91"/>
      <c r="FA263" s="91"/>
      <c r="FB263" s="91"/>
      <c r="FC263" s="91"/>
      <c r="FD263" s="91"/>
      <c r="FE263" s="91"/>
      <c r="FF263" s="91"/>
      <c r="FG263" s="91"/>
      <c r="FH263" s="91"/>
      <c r="FI263" s="91"/>
      <c r="FJ263" s="91"/>
      <c r="FK263" s="91"/>
      <c r="FL263" s="91"/>
      <c r="FM263" s="91"/>
      <c r="FN263" s="91"/>
      <c r="FO263" s="91"/>
      <c r="FP263" s="91"/>
      <c r="FQ263" s="91"/>
      <c r="FR263" s="91"/>
      <c r="FS263" s="91"/>
      <c r="FT263" s="91"/>
      <c r="FU263" s="91"/>
      <c r="FV263" s="91"/>
    </row>
    <row r="264" spans="2:178" s="1" customFormat="1" ht="15.75">
      <c r="B264" s="358"/>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91"/>
      <c r="BU264" s="91"/>
      <c r="BV264" s="91"/>
      <c r="BW264" s="91"/>
      <c r="BX264" s="91"/>
      <c r="BY264" s="91"/>
      <c r="BZ264" s="91"/>
      <c r="CA264" s="91"/>
      <c r="CB264" s="91"/>
      <c r="CC264" s="91"/>
      <c r="CD264" s="91"/>
      <c r="CE264" s="91"/>
      <c r="CF264" s="91"/>
      <c r="CG264" s="91"/>
      <c r="CH264" s="91"/>
      <c r="CI264" s="91"/>
      <c r="CJ264" s="91"/>
      <c r="CK264" s="91"/>
      <c r="CL264" s="91"/>
      <c r="CM264" s="91"/>
      <c r="CN264" s="91"/>
      <c r="CO264" s="91"/>
      <c r="CP264" s="91"/>
      <c r="CQ264" s="91"/>
      <c r="CR264" s="91"/>
      <c r="CS264" s="91"/>
      <c r="CT264" s="91"/>
      <c r="CU264" s="91"/>
      <c r="CV264" s="91"/>
      <c r="CW264" s="91"/>
      <c r="CX264" s="91"/>
      <c r="CY264" s="91"/>
      <c r="CZ264" s="91"/>
      <c r="DA264" s="91"/>
      <c r="DB264" s="91"/>
      <c r="DC264" s="91"/>
      <c r="DD264" s="91"/>
      <c r="DE264" s="91"/>
      <c r="DF264" s="91"/>
      <c r="DG264" s="91"/>
      <c r="DH264" s="91"/>
      <c r="DI264" s="91"/>
      <c r="DJ264" s="91"/>
      <c r="DK264" s="91"/>
      <c r="DL264" s="91"/>
      <c r="DM264" s="91"/>
      <c r="DN264" s="91"/>
      <c r="DO264" s="91"/>
      <c r="DP264" s="91"/>
      <c r="DQ264" s="91"/>
      <c r="DR264" s="91"/>
      <c r="DS264" s="91"/>
      <c r="DT264" s="91"/>
      <c r="DU264" s="91"/>
      <c r="DV264" s="91"/>
      <c r="DW264" s="91"/>
      <c r="DX264" s="91"/>
      <c r="DY264" s="91"/>
      <c r="DZ264" s="91"/>
      <c r="EA264" s="91"/>
      <c r="EB264" s="91"/>
      <c r="EC264" s="91"/>
      <c r="ED264" s="91"/>
      <c r="EE264" s="91"/>
      <c r="EF264" s="91"/>
      <c r="EG264" s="91"/>
      <c r="EH264" s="91"/>
      <c r="EI264" s="91"/>
      <c r="EJ264" s="91"/>
      <c r="EK264" s="91"/>
      <c r="EL264" s="91"/>
      <c r="EM264" s="91"/>
      <c r="EN264" s="91"/>
      <c r="EO264" s="91"/>
      <c r="EP264" s="91"/>
      <c r="EQ264" s="91"/>
      <c r="ER264" s="91"/>
      <c r="ES264" s="91"/>
      <c r="ET264" s="91"/>
      <c r="EU264" s="91"/>
      <c r="EV264" s="91"/>
      <c r="EW264" s="91"/>
      <c r="EX264" s="91"/>
      <c r="EY264" s="91"/>
      <c r="EZ264" s="91"/>
      <c r="FA264" s="91"/>
      <c r="FB264" s="91"/>
      <c r="FC264" s="91"/>
      <c r="FD264" s="91"/>
      <c r="FE264" s="91"/>
      <c r="FF264" s="91"/>
      <c r="FG264" s="91"/>
      <c r="FH264" s="91"/>
      <c r="FI264" s="91"/>
      <c r="FJ264" s="91"/>
      <c r="FK264" s="91"/>
      <c r="FL264" s="91"/>
      <c r="FM264" s="91"/>
      <c r="FN264" s="91"/>
      <c r="FO264" s="91"/>
      <c r="FP264" s="91"/>
      <c r="FQ264" s="91"/>
      <c r="FR264" s="91"/>
      <c r="FS264" s="91"/>
      <c r="FT264" s="91"/>
      <c r="FU264" s="91"/>
      <c r="FV264" s="91"/>
    </row>
    <row r="265" spans="2:178" s="1" customFormat="1" ht="15.75">
      <c r="B265" s="358"/>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c r="BW265" s="91"/>
      <c r="BX265" s="91"/>
      <c r="BY265" s="91"/>
      <c r="BZ265" s="91"/>
      <c r="CA265" s="91"/>
      <c r="CB265" s="91"/>
      <c r="CC265" s="91"/>
      <c r="CD265" s="91"/>
      <c r="CE265" s="91"/>
      <c r="CF265" s="91"/>
      <c r="CG265" s="91"/>
      <c r="CH265" s="91"/>
      <c r="CI265" s="91"/>
      <c r="CJ265" s="91"/>
      <c r="CK265" s="91"/>
      <c r="CL265" s="91"/>
      <c r="CM265" s="91"/>
      <c r="CN265" s="91"/>
      <c r="CO265" s="91"/>
      <c r="CP265" s="91"/>
      <c r="CQ265" s="91"/>
      <c r="CR265" s="91"/>
      <c r="CS265" s="91"/>
      <c r="CT265" s="91"/>
      <c r="CU265" s="91"/>
      <c r="CV265" s="91"/>
      <c r="CW265" s="91"/>
      <c r="CX265" s="91"/>
      <c r="CY265" s="91"/>
      <c r="CZ265" s="91"/>
      <c r="DA265" s="91"/>
      <c r="DB265" s="91"/>
      <c r="DC265" s="91"/>
      <c r="DD265" s="91"/>
      <c r="DE265" s="91"/>
      <c r="DF265" s="91"/>
      <c r="DG265" s="91"/>
      <c r="DH265" s="91"/>
      <c r="DI265" s="91"/>
      <c r="DJ265" s="91"/>
      <c r="DK265" s="91"/>
      <c r="DL265" s="91"/>
      <c r="DM265" s="91"/>
      <c r="DN265" s="91"/>
      <c r="DO265" s="91"/>
      <c r="DP265" s="91"/>
      <c r="DQ265" s="91"/>
      <c r="DR265" s="91"/>
      <c r="DS265" s="91"/>
      <c r="DT265" s="91"/>
      <c r="DU265" s="91"/>
      <c r="DV265" s="91"/>
      <c r="DW265" s="91"/>
      <c r="DX265" s="91"/>
      <c r="DY265" s="91"/>
      <c r="DZ265" s="91"/>
      <c r="EA265" s="91"/>
      <c r="EB265" s="91"/>
      <c r="EC265" s="91"/>
      <c r="ED265" s="91"/>
      <c r="EE265" s="91"/>
      <c r="EF265" s="91"/>
      <c r="EG265" s="91"/>
      <c r="EH265" s="91"/>
      <c r="EI265" s="91"/>
      <c r="EJ265" s="91"/>
      <c r="EK265" s="91"/>
      <c r="EL265" s="91"/>
      <c r="EM265" s="91"/>
      <c r="EN265" s="91"/>
      <c r="EO265" s="91"/>
      <c r="EP265" s="91"/>
      <c r="EQ265" s="91"/>
      <c r="ER265" s="91"/>
      <c r="ES265" s="91"/>
      <c r="ET265" s="91"/>
      <c r="EU265" s="91"/>
      <c r="EV265" s="91"/>
      <c r="EW265" s="91"/>
      <c r="EX265" s="91"/>
      <c r="EY265" s="91"/>
      <c r="EZ265" s="91"/>
      <c r="FA265" s="91"/>
      <c r="FB265" s="91"/>
      <c r="FC265" s="91"/>
      <c r="FD265" s="91"/>
      <c r="FE265" s="91"/>
      <c r="FF265" s="91"/>
      <c r="FG265" s="91"/>
      <c r="FH265" s="91"/>
      <c r="FI265" s="91"/>
      <c r="FJ265" s="91"/>
      <c r="FK265" s="91"/>
      <c r="FL265" s="91"/>
      <c r="FM265" s="91"/>
      <c r="FN265" s="91"/>
      <c r="FO265" s="91"/>
      <c r="FP265" s="91"/>
      <c r="FQ265" s="91"/>
      <c r="FR265" s="91"/>
      <c r="FS265" s="91"/>
      <c r="FT265" s="91"/>
      <c r="FU265" s="91"/>
      <c r="FV265" s="91"/>
    </row>
    <row r="266" spans="2:178" s="1" customFormat="1" ht="15.75">
      <c r="B266" s="358"/>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91"/>
      <c r="CI266" s="91"/>
      <c r="CJ266" s="91"/>
      <c r="CK266" s="91"/>
      <c r="CL266" s="91"/>
      <c r="CM266" s="91"/>
      <c r="CN266" s="91"/>
      <c r="CO266" s="91"/>
      <c r="CP266" s="91"/>
      <c r="CQ266" s="91"/>
      <c r="CR266" s="91"/>
      <c r="CS266" s="91"/>
      <c r="CT266" s="91"/>
      <c r="CU266" s="91"/>
      <c r="CV266" s="91"/>
      <c r="CW266" s="91"/>
      <c r="CX266" s="91"/>
      <c r="CY266" s="91"/>
      <c r="CZ266" s="91"/>
      <c r="DA266" s="91"/>
      <c r="DB266" s="91"/>
      <c r="DC266" s="91"/>
      <c r="DD266" s="91"/>
      <c r="DE266" s="91"/>
      <c r="DF266" s="91"/>
      <c r="DG266" s="91"/>
      <c r="DH266" s="91"/>
      <c r="DI266" s="91"/>
      <c r="DJ266" s="91"/>
      <c r="DK266" s="91"/>
      <c r="DL266" s="91"/>
      <c r="DM266" s="91"/>
      <c r="DN266" s="91"/>
      <c r="DO266" s="91"/>
      <c r="DP266" s="91"/>
      <c r="DQ266" s="91"/>
      <c r="DR266" s="91"/>
      <c r="DS266" s="91"/>
      <c r="DT266" s="91"/>
      <c r="DU266" s="91"/>
      <c r="DV266" s="91"/>
      <c r="DW266" s="91"/>
      <c r="DX266" s="91"/>
      <c r="DY266" s="91"/>
      <c r="DZ266" s="91"/>
      <c r="EA266" s="91"/>
      <c r="EB266" s="91"/>
      <c r="EC266" s="91"/>
      <c r="ED266" s="91"/>
      <c r="EE266" s="91"/>
      <c r="EF266" s="91"/>
      <c r="EG266" s="91"/>
      <c r="EH266" s="91"/>
      <c r="EI266" s="91"/>
      <c r="EJ266" s="91"/>
      <c r="EK266" s="91"/>
      <c r="EL266" s="91"/>
      <c r="EM266" s="91"/>
      <c r="EN266" s="91"/>
      <c r="EO266" s="91"/>
      <c r="EP266" s="91"/>
      <c r="EQ266" s="91"/>
      <c r="ER266" s="91"/>
      <c r="ES266" s="91"/>
      <c r="ET266" s="91"/>
      <c r="EU266" s="91"/>
      <c r="EV266" s="91"/>
      <c r="EW266" s="91"/>
      <c r="EX266" s="91"/>
      <c r="EY266" s="91"/>
      <c r="EZ266" s="91"/>
      <c r="FA266" s="91"/>
      <c r="FB266" s="91"/>
      <c r="FC266" s="91"/>
      <c r="FD266" s="91"/>
      <c r="FE266" s="91"/>
      <c r="FF266" s="91"/>
      <c r="FG266" s="91"/>
      <c r="FH266" s="91"/>
      <c r="FI266" s="91"/>
      <c r="FJ266" s="91"/>
      <c r="FK266" s="91"/>
      <c r="FL266" s="91"/>
      <c r="FM266" s="91"/>
      <c r="FN266" s="91"/>
      <c r="FO266" s="91"/>
      <c r="FP266" s="91"/>
      <c r="FQ266" s="91"/>
      <c r="FR266" s="91"/>
      <c r="FS266" s="91"/>
      <c r="FT266" s="91"/>
      <c r="FU266" s="91"/>
      <c r="FV266" s="91"/>
    </row>
    <row r="267" spans="2:178" s="1" customFormat="1" ht="15.75">
      <c r="B267" s="358"/>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91"/>
      <c r="CI267" s="91"/>
      <c r="CJ267" s="91"/>
      <c r="CK267" s="91"/>
      <c r="CL267" s="91"/>
      <c r="CM267" s="91"/>
      <c r="CN267" s="91"/>
      <c r="CO267" s="91"/>
      <c r="CP267" s="91"/>
      <c r="CQ267" s="91"/>
      <c r="CR267" s="91"/>
      <c r="CS267" s="91"/>
      <c r="CT267" s="91"/>
      <c r="CU267" s="91"/>
      <c r="CV267" s="91"/>
      <c r="CW267" s="91"/>
      <c r="CX267" s="91"/>
      <c r="CY267" s="91"/>
      <c r="CZ267" s="91"/>
      <c r="DA267" s="91"/>
      <c r="DB267" s="91"/>
      <c r="DC267" s="91"/>
      <c r="DD267" s="91"/>
      <c r="DE267" s="91"/>
      <c r="DF267" s="91"/>
      <c r="DG267" s="91"/>
      <c r="DH267" s="91"/>
      <c r="DI267" s="91"/>
      <c r="DJ267" s="91"/>
      <c r="DK267" s="91"/>
      <c r="DL267" s="91"/>
      <c r="DM267" s="91"/>
      <c r="DN267" s="91"/>
      <c r="DO267" s="91"/>
      <c r="DP267" s="91"/>
      <c r="DQ267" s="91"/>
      <c r="DR267" s="91"/>
      <c r="DS267" s="91"/>
      <c r="DT267" s="91"/>
      <c r="DU267" s="91"/>
      <c r="DV267" s="91"/>
      <c r="DW267" s="91"/>
      <c r="DX267" s="91"/>
      <c r="DY267" s="91"/>
      <c r="DZ267" s="91"/>
      <c r="EA267" s="91"/>
      <c r="EB267" s="91"/>
      <c r="EC267" s="91"/>
      <c r="ED267" s="91"/>
      <c r="EE267" s="91"/>
      <c r="EF267" s="91"/>
      <c r="EG267" s="91"/>
      <c r="EH267" s="91"/>
      <c r="EI267" s="91"/>
      <c r="EJ267" s="91"/>
      <c r="EK267" s="91"/>
      <c r="EL267" s="91"/>
      <c r="EM267" s="91"/>
      <c r="EN267" s="91"/>
      <c r="EO267" s="91"/>
      <c r="EP267" s="91"/>
      <c r="EQ267" s="91"/>
      <c r="ER267" s="91"/>
      <c r="ES267" s="91"/>
      <c r="ET267" s="91"/>
      <c r="EU267" s="91"/>
      <c r="EV267" s="91"/>
      <c r="EW267" s="91"/>
      <c r="EX267" s="91"/>
      <c r="EY267" s="91"/>
      <c r="EZ267" s="91"/>
      <c r="FA267" s="91"/>
      <c r="FB267" s="91"/>
      <c r="FC267" s="91"/>
      <c r="FD267" s="91"/>
      <c r="FE267" s="91"/>
      <c r="FF267" s="91"/>
      <c r="FG267" s="91"/>
      <c r="FH267" s="91"/>
      <c r="FI267" s="91"/>
      <c r="FJ267" s="91"/>
      <c r="FK267" s="91"/>
      <c r="FL267" s="91"/>
      <c r="FM267" s="91"/>
      <c r="FN267" s="91"/>
      <c r="FO267" s="91"/>
      <c r="FP267" s="91"/>
      <c r="FQ267" s="91"/>
      <c r="FR267" s="91"/>
      <c r="FS267" s="91"/>
      <c r="FT267" s="91"/>
      <c r="FU267" s="91"/>
      <c r="FV267" s="91"/>
    </row>
    <row r="268" spans="2:178" s="1" customFormat="1" ht="15.75">
      <c r="B268" s="358"/>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91"/>
      <c r="CI268" s="91"/>
      <c r="CJ268" s="91"/>
      <c r="CK268" s="91"/>
      <c r="CL268" s="91"/>
      <c r="CM268" s="91"/>
      <c r="CN268" s="91"/>
      <c r="CO268" s="91"/>
      <c r="CP268" s="91"/>
      <c r="CQ268" s="91"/>
      <c r="CR268" s="91"/>
      <c r="CS268" s="91"/>
      <c r="CT268" s="91"/>
      <c r="CU268" s="91"/>
      <c r="CV268" s="91"/>
      <c r="CW268" s="91"/>
      <c r="CX268" s="91"/>
      <c r="CY268" s="91"/>
      <c r="CZ268" s="91"/>
      <c r="DA268" s="91"/>
      <c r="DB268" s="91"/>
      <c r="DC268" s="91"/>
      <c r="DD268" s="91"/>
      <c r="DE268" s="91"/>
      <c r="DF268" s="91"/>
      <c r="DG268" s="91"/>
      <c r="DH268" s="91"/>
      <c r="DI268" s="91"/>
      <c r="DJ268" s="91"/>
      <c r="DK268" s="91"/>
      <c r="DL268" s="91"/>
      <c r="DM268" s="91"/>
      <c r="DN268" s="91"/>
      <c r="DO268" s="91"/>
      <c r="DP268" s="91"/>
      <c r="DQ268" s="91"/>
      <c r="DR268" s="91"/>
      <c r="DS268" s="91"/>
      <c r="DT268" s="91"/>
      <c r="DU268" s="91"/>
      <c r="DV268" s="91"/>
      <c r="DW268" s="91"/>
      <c r="DX268" s="91"/>
      <c r="DY268" s="91"/>
      <c r="DZ268" s="91"/>
      <c r="EA268" s="91"/>
      <c r="EB268" s="91"/>
      <c r="EC268" s="91"/>
      <c r="ED268" s="91"/>
      <c r="EE268" s="91"/>
      <c r="EF268" s="91"/>
      <c r="EG268" s="91"/>
      <c r="EH268" s="91"/>
      <c r="EI268" s="91"/>
      <c r="EJ268" s="91"/>
      <c r="EK268" s="91"/>
      <c r="EL268" s="91"/>
      <c r="EM268" s="91"/>
      <c r="EN268" s="91"/>
      <c r="EO268" s="91"/>
      <c r="EP268" s="91"/>
      <c r="EQ268" s="91"/>
      <c r="ER268" s="91"/>
      <c r="ES268" s="91"/>
      <c r="ET268" s="91"/>
      <c r="EU268" s="91"/>
      <c r="EV268" s="91"/>
      <c r="EW268" s="91"/>
      <c r="EX268" s="91"/>
      <c r="EY268" s="91"/>
      <c r="EZ268" s="91"/>
      <c r="FA268" s="91"/>
      <c r="FB268" s="91"/>
      <c r="FC268" s="91"/>
      <c r="FD268" s="91"/>
      <c r="FE268" s="91"/>
      <c r="FF268" s="91"/>
      <c r="FG268" s="91"/>
      <c r="FH268" s="91"/>
      <c r="FI268" s="91"/>
      <c r="FJ268" s="91"/>
      <c r="FK268" s="91"/>
      <c r="FL268" s="91"/>
      <c r="FM268" s="91"/>
      <c r="FN268" s="91"/>
      <c r="FO268" s="91"/>
      <c r="FP268" s="91"/>
      <c r="FQ268" s="91"/>
      <c r="FR268" s="91"/>
      <c r="FS268" s="91"/>
      <c r="FT268" s="91"/>
      <c r="FU268" s="91"/>
      <c r="FV268" s="91"/>
    </row>
    <row r="269" spans="2:178" s="1" customFormat="1" ht="15.75">
      <c r="B269" s="358"/>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91"/>
      <c r="CI269" s="91"/>
      <c r="CJ269" s="91"/>
      <c r="CK269" s="91"/>
      <c r="CL269" s="91"/>
      <c r="CM269" s="91"/>
      <c r="CN269" s="91"/>
      <c r="CO269" s="91"/>
      <c r="CP269" s="91"/>
      <c r="CQ269" s="91"/>
      <c r="CR269" s="91"/>
      <c r="CS269" s="91"/>
      <c r="CT269" s="91"/>
      <c r="CU269" s="91"/>
      <c r="CV269" s="91"/>
      <c r="CW269" s="91"/>
      <c r="CX269" s="91"/>
      <c r="CY269" s="91"/>
      <c r="CZ269" s="91"/>
      <c r="DA269" s="91"/>
      <c r="DB269" s="91"/>
      <c r="DC269" s="91"/>
      <c r="DD269" s="91"/>
      <c r="DE269" s="91"/>
      <c r="DF269" s="91"/>
      <c r="DG269" s="91"/>
      <c r="DH269" s="91"/>
      <c r="DI269" s="91"/>
      <c r="DJ269" s="91"/>
      <c r="DK269" s="91"/>
      <c r="DL269" s="91"/>
      <c r="DM269" s="91"/>
      <c r="DN269" s="91"/>
      <c r="DO269" s="91"/>
      <c r="DP269" s="91"/>
      <c r="DQ269" s="91"/>
      <c r="DR269" s="91"/>
      <c r="DS269" s="91"/>
      <c r="DT269" s="91"/>
      <c r="DU269" s="91"/>
      <c r="DV269" s="91"/>
      <c r="DW269" s="91"/>
      <c r="DX269" s="91"/>
      <c r="DY269" s="91"/>
      <c r="DZ269" s="91"/>
      <c r="EA269" s="91"/>
      <c r="EB269" s="91"/>
      <c r="EC269" s="91"/>
      <c r="ED269" s="91"/>
      <c r="EE269" s="91"/>
      <c r="EF269" s="91"/>
      <c r="EG269" s="91"/>
      <c r="EH269" s="91"/>
      <c r="EI269" s="91"/>
      <c r="EJ269" s="91"/>
      <c r="EK269" s="91"/>
      <c r="EL269" s="91"/>
      <c r="EM269" s="91"/>
      <c r="EN269" s="91"/>
      <c r="EO269" s="91"/>
      <c r="EP269" s="91"/>
      <c r="EQ269" s="91"/>
      <c r="ER269" s="91"/>
      <c r="ES269" s="91"/>
      <c r="ET269" s="91"/>
      <c r="EU269" s="91"/>
      <c r="EV269" s="91"/>
      <c r="EW269" s="91"/>
      <c r="EX269" s="91"/>
      <c r="EY269" s="91"/>
      <c r="EZ269" s="91"/>
      <c r="FA269" s="91"/>
      <c r="FB269" s="91"/>
      <c r="FC269" s="91"/>
      <c r="FD269" s="91"/>
      <c r="FE269" s="91"/>
      <c r="FF269" s="91"/>
      <c r="FG269" s="91"/>
      <c r="FH269" s="91"/>
      <c r="FI269" s="91"/>
      <c r="FJ269" s="91"/>
      <c r="FK269" s="91"/>
      <c r="FL269" s="91"/>
      <c r="FM269" s="91"/>
      <c r="FN269" s="91"/>
      <c r="FO269" s="91"/>
      <c r="FP269" s="91"/>
      <c r="FQ269" s="91"/>
      <c r="FR269" s="91"/>
      <c r="FS269" s="91"/>
      <c r="FT269" s="91"/>
      <c r="FU269" s="91"/>
      <c r="FV269" s="91"/>
    </row>
    <row r="270" spans="2:178" s="1" customFormat="1" ht="15.75">
      <c r="B270" s="358"/>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91"/>
      <c r="CI270" s="91"/>
      <c r="CJ270" s="91"/>
      <c r="CK270" s="91"/>
      <c r="CL270" s="91"/>
      <c r="CM270" s="91"/>
      <c r="CN270" s="91"/>
      <c r="CO270" s="91"/>
      <c r="CP270" s="91"/>
      <c r="CQ270" s="91"/>
      <c r="CR270" s="91"/>
      <c r="CS270" s="91"/>
      <c r="CT270" s="91"/>
      <c r="CU270" s="91"/>
      <c r="CV270" s="91"/>
      <c r="CW270" s="91"/>
      <c r="CX270" s="91"/>
      <c r="CY270" s="91"/>
      <c r="CZ270" s="91"/>
      <c r="DA270" s="91"/>
      <c r="DB270" s="91"/>
      <c r="DC270" s="91"/>
      <c r="DD270" s="91"/>
      <c r="DE270" s="91"/>
      <c r="DF270" s="91"/>
      <c r="DG270" s="91"/>
      <c r="DH270" s="91"/>
      <c r="DI270" s="91"/>
      <c r="DJ270" s="91"/>
      <c r="DK270" s="91"/>
      <c r="DL270" s="91"/>
      <c r="DM270" s="91"/>
      <c r="DN270" s="91"/>
      <c r="DO270" s="91"/>
      <c r="DP270" s="91"/>
      <c r="DQ270" s="91"/>
      <c r="DR270" s="91"/>
      <c r="DS270" s="91"/>
      <c r="DT270" s="91"/>
      <c r="DU270" s="91"/>
      <c r="DV270" s="91"/>
      <c r="DW270" s="91"/>
      <c r="DX270" s="91"/>
      <c r="DY270" s="91"/>
      <c r="DZ270" s="91"/>
      <c r="EA270" s="91"/>
      <c r="EB270" s="91"/>
      <c r="EC270" s="91"/>
      <c r="ED270" s="91"/>
      <c r="EE270" s="91"/>
      <c r="EF270" s="91"/>
      <c r="EG270" s="91"/>
      <c r="EH270" s="91"/>
      <c r="EI270" s="91"/>
      <c r="EJ270" s="91"/>
      <c r="EK270" s="91"/>
      <c r="EL270" s="91"/>
      <c r="EM270" s="91"/>
      <c r="EN270" s="91"/>
      <c r="EO270" s="91"/>
      <c r="EP270" s="91"/>
      <c r="EQ270" s="91"/>
      <c r="ER270" s="91"/>
      <c r="ES270" s="91"/>
      <c r="ET270" s="91"/>
      <c r="EU270" s="91"/>
      <c r="EV270" s="91"/>
      <c r="EW270" s="91"/>
      <c r="EX270" s="91"/>
      <c r="EY270" s="91"/>
      <c r="EZ270" s="91"/>
      <c r="FA270" s="91"/>
      <c r="FB270" s="91"/>
      <c r="FC270" s="91"/>
      <c r="FD270" s="91"/>
      <c r="FE270" s="91"/>
      <c r="FF270" s="91"/>
      <c r="FG270" s="91"/>
      <c r="FH270" s="91"/>
      <c r="FI270" s="91"/>
      <c r="FJ270" s="91"/>
      <c r="FK270" s="91"/>
      <c r="FL270" s="91"/>
      <c r="FM270" s="91"/>
      <c r="FN270" s="91"/>
      <c r="FO270" s="91"/>
      <c r="FP270" s="91"/>
      <c r="FQ270" s="91"/>
      <c r="FR270" s="91"/>
      <c r="FS270" s="91"/>
      <c r="FT270" s="91"/>
      <c r="FU270" s="91"/>
      <c r="FV270" s="91"/>
    </row>
    <row r="271" spans="2:178" s="1" customFormat="1" ht="15.75">
      <c r="B271" s="358"/>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91"/>
      <c r="CI271" s="91"/>
      <c r="CJ271" s="91"/>
      <c r="CK271" s="91"/>
      <c r="CL271" s="91"/>
      <c r="CM271" s="91"/>
      <c r="CN271" s="91"/>
      <c r="CO271" s="91"/>
      <c r="CP271" s="91"/>
      <c r="CQ271" s="91"/>
      <c r="CR271" s="91"/>
      <c r="CS271" s="91"/>
      <c r="CT271" s="91"/>
      <c r="CU271" s="91"/>
      <c r="CV271" s="91"/>
      <c r="CW271" s="91"/>
      <c r="CX271" s="91"/>
      <c r="CY271" s="91"/>
      <c r="CZ271" s="91"/>
      <c r="DA271" s="91"/>
      <c r="DB271" s="91"/>
      <c r="DC271" s="91"/>
      <c r="DD271" s="91"/>
      <c r="DE271" s="91"/>
      <c r="DF271" s="91"/>
      <c r="DG271" s="91"/>
      <c r="DH271" s="91"/>
      <c r="DI271" s="91"/>
      <c r="DJ271" s="91"/>
      <c r="DK271" s="91"/>
      <c r="DL271" s="91"/>
      <c r="DM271" s="91"/>
      <c r="DN271" s="91"/>
      <c r="DO271" s="91"/>
      <c r="DP271" s="91"/>
      <c r="DQ271" s="91"/>
      <c r="DR271" s="91"/>
      <c r="DS271" s="91"/>
      <c r="DT271" s="91"/>
      <c r="DU271" s="91"/>
      <c r="DV271" s="91"/>
      <c r="DW271" s="91"/>
      <c r="DX271" s="91"/>
      <c r="DY271" s="91"/>
      <c r="DZ271" s="91"/>
      <c r="EA271" s="91"/>
      <c r="EB271" s="91"/>
      <c r="EC271" s="91"/>
      <c r="ED271" s="91"/>
      <c r="EE271" s="91"/>
      <c r="EF271" s="91"/>
      <c r="EG271" s="91"/>
      <c r="EH271" s="91"/>
      <c r="EI271" s="91"/>
      <c r="EJ271" s="91"/>
      <c r="EK271" s="91"/>
      <c r="EL271" s="91"/>
      <c r="EM271" s="91"/>
      <c r="EN271" s="91"/>
      <c r="EO271" s="91"/>
      <c r="EP271" s="91"/>
      <c r="EQ271" s="91"/>
      <c r="ER271" s="91"/>
      <c r="ES271" s="91"/>
      <c r="ET271" s="91"/>
      <c r="EU271" s="91"/>
      <c r="EV271" s="91"/>
      <c r="EW271" s="91"/>
      <c r="EX271" s="91"/>
      <c r="EY271" s="91"/>
      <c r="EZ271" s="91"/>
      <c r="FA271" s="91"/>
      <c r="FB271" s="91"/>
      <c r="FC271" s="91"/>
      <c r="FD271" s="91"/>
      <c r="FE271" s="91"/>
      <c r="FF271" s="91"/>
      <c r="FG271" s="91"/>
      <c r="FH271" s="91"/>
      <c r="FI271" s="91"/>
      <c r="FJ271" s="91"/>
      <c r="FK271" s="91"/>
      <c r="FL271" s="91"/>
      <c r="FM271" s="91"/>
      <c r="FN271" s="91"/>
      <c r="FO271" s="91"/>
      <c r="FP271" s="91"/>
      <c r="FQ271" s="91"/>
      <c r="FR271" s="91"/>
      <c r="FS271" s="91"/>
      <c r="FT271" s="91"/>
      <c r="FU271" s="91"/>
      <c r="FV271" s="91"/>
    </row>
    <row r="272" spans="2:178" s="1" customFormat="1" ht="15.75">
      <c r="B272" s="358"/>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1"/>
      <c r="CH272" s="91"/>
      <c r="CI272" s="91"/>
      <c r="CJ272" s="91"/>
      <c r="CK272" s="91"/>
      <c r="CL272" s="91"/>
      <c r="CM272" s="91"/>
      <c r="CN272" s="91"/>
      <c r="CO272" s="91"/>
      <c r="CP272" s="91"/>
      <c r="CQ272" s="91"/>
      <c r="CR272" s="91"/>
      <c r="CS272" s="91"/>
      <c r="CT272" s="91"/>
      <c r="CU272" s="91"/>
      <c r="CV272" s="91"/>
      <c r="CW272" s="91"/>
      <c r="CX272" s="91"/>
      <c r="CY272" s="91"/>
      <c r="CZ272" s="91"/>
      <c r="DA272" s="91"/>
      <c r="DB272" s="91"/>
      <c r="DC272" s="91"/>
      <c r="DD272" s="91"/>
      <c r="DE272" s="91"/>
      <c r="DF272" s="91"/>
      <c r="DG272" s="91"/>
      <c r="DH272" s="91"/>
      <c r="DI272" s="91"/>
      <c r="DJ272" s="91"/>
      <c r="DK272" s="91"/>
      <c r="DL272" s="91"/>
      <c r="DM272" s="91"/>
      <c r="DN272" s="91"/>
      <c r="DO272" s="91"/>
      <c r="DP272" s="91"/>
      <c r="DQ272" s="91"/>
      <c r="DR272" s="91"/>
      <c r="DS272" s="91"/>
      <c r="DT272" s="91"/>
      <c r="DU272" s="91"/>
      <c r="DV272" s="91"/>
      <c r="DW272" s="91"/>
      <c r="DX272" s="91"/>
      <c r="DY272" s="91"/>
      <c r="DZ272" s="91"/>
      <c r="EA272" s="91"/>
      <c r="EB272" s="91"/>
      <c r="EC272" s="91"/>
      <c r="ED272" s="91"/>
      <c r="EE272" s="91"/>
      <c r="EF272" s="91"/>
      <c r="EG272" s="91"/>
      <c r="EH272" s="91"/>
      <c r="EI272" s="91"/>
      <c r="EJ272" s="91"/>
      <c r="EK272" s="91"/>
      <c r="EL272" s="91"/>
      <c r="EM272" s="91"/>
      <c r="EN272" s="91"/>
      <c r="EO272" s="91"/>
      <c r="EP272" s="91"/>
      <c r="EQ272" s="91"/>
      <c r="ER272" s="91"/>
      <c r="ES272" s="91"/>
      <c r="ET272" s="91"/>
      <c r="EU272" s="91"/>
      <c r="EV272" s="91"/>
      <c r="EW272" s="91"/>
      <c r="EX272" s="91"/>
      <c r="EY272" s="91"/>
      <c r="EZ272" s="91"/>
      <c r="FA272" s="91"/>
      <c r="FB272" s="91"/>
      <c r="FC272" s="91"/>
      <c r="FD272" s="91"/>
      <c r="FE272" s="91"/>
      <c r="FF272" s="91"/>
      <c r="FG272" s="91"/>
      <c r="FH272" s="91"/>
      <c r="FI272" s="91"/>
      <c r="FJ272" s="91"/>
      <c r="FK272" s="91"/>
      <c r="FL272" s="91"/>
      <c r="FM272" s="91"/>
      <c r="FN272" s="91"/>
      <c r="FO272" s="91"/>
      <c r="FP272" s="91"/>
      <c r="FQ272" s="91"/>
      <c r="FR272" s="91"/>
      <c r="FS272" s="91"/>
      <c r="FT272" s="91"/>
      <c r="FU272" s="91"/>
      <c r="FV272" s="91"/>
    </row>
    <row r="273" spans="2:178" s="1" customFormat="1" ht="15.75">
      <c r="B273" s="358"/>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c r="BW273" s="91"/>
      <c r="BX273" s="91"/>
      <c r="BY273" s="91"/>
      <c r="BZ273" s="91"/>
      <c r="CA273" s="91"/>
      <c r="CB273" s="91"/>
      <c r="CC273" s="91"/>
      <c r="CD273" s="91"/>
      <c r="CE273" s="91"/>
      <c r="CF273" s="91"/>
      <c r="CG273" s="91"/>
      <c r="CH273" s="91"/>
      <c r="CI273" s="91"/>
      <c r="CJ273" s="91"/>
      <c r="CK273" s="91"/>
      <c r="CL273" s="91"/>
      <c r="CM273" s="91"/>
      <c r="CN273" s="91"/>
      <c r="CO273" s="91"/>
      <c r="CP273" s="91"/>
      <c r="CQ273" s="91"/>
      <c r="CR273" s="91"/>
      <c r="CS273" s="91"/>
      <c r="CT273" s="91"/>
      <c r="CU273" s="91"/>
      <c r="CV273" s="91"/>
      <c r="CW273" s="91"/>
      <c r="CX273" s="91"/>
      <c r="CY273" s="91"/>
      <c r="CZ273" s="91"/>
      <c r="DA273" s="91"/>
      <c r="DB273" s="91"/>
      <c r="DC273" s="91"/>
      <c r="DD273" s="91"/>
      <c r="DE273" s="91"/>
      <c r="DF273" s="91"/>
      <c r="DG273" s="91"/>
      <c r="DH273" s="91"/>
      <c r="DI273" s="91"/>
      <c r="DJ273" s="91"/>
      <c r="DK273" s="91"/>
      <c r="DL273" s="91"/>
      <c r="DM273" s="91"/>
      <c r="DN273" s="91"/>
      <c r="DO273" s="91"/>
      <c r="DP273" s="91"/>
      <c r="DQ273" s="91"/>
      <c r="DR273" s="91"/>
      <c r="DS273" s="91"/>
      <c r="DT273" s="91"/>
      <c r="DU273" s="91"/>
      <c r="DV273" s="91"/>
      <c r="DW273" s="91"/>
      <c r="DX273" s="91"/>
      <c r="DY273" s="91"/>
      <c r="DZ273" s="91"/>
      <c r="EA273" s="91"/>
      <c r="EB273" s="91"/>
      <c r="EC273" s="91"/>
      <c r="ED273" s="91"/>
      <c r="EE273" s="91"/>
      <c r="EF273" s="91"/>
      <c r="EG273" s="91"/>
      <c r="EH273" s="91"/>
      <c r="EI273" s="91"/>
      <c r="EJ273" s="91"/>
      <c r="EK273" s="91"/>
      <c r="EL273" s="91"/>
      <c r="EM273" s="91"/>
      <c r="EN273" s="91"/>
      <c r="EO273" s="91"/>
      <c r="EP273" s="91"/>
      <c r="EQ273" s="91"/>
      <c r="ER273" s="91"/>
      <c r="ES273" s="91"/>
      <c r="ET273" s="91"/>
      <c r="EU273" s="91"/>
      <c r="EV273" s="91"/>
      <c r="EW273" s="91"/>
      <c r="EX273" s="91"/>
      <c r="EY273" s="91"/>
      <c r="EZ273" s="91"/>
      <c r="FA273" s="91"/>
      <c r="FB273" s="91"/>
      <c r="FC273" s="91"/>
      <c r="FD273" s="91"/>
      <c r="FE273" s="91"/>
      <c r="FF273" s="91"/>
      <c r="FG273" s="91"/>
      <c r="FH273" s="91"/>
      <c r="FI273" s="91"/>
      <c r="FJ273" s="91"/>
      <c r="FK273" s="91"/>
      <c r="FL273" s="91"/>
      <c r="FM273" s="91"/>
      <c r="FN273" s="91"/>
      <c r="FO273" s="91"/>
      <c r="FP273" s="91"/>
      <c r="FQ273" s="91"/>
      <c r="FR273" s="91"/>
      <c r="FS273" s="91"/>
      <c r="FT273" s="91"/>
      <c r="FU273" s="91"/>
      <c r="FV273" s="91"/>
    </row>
    <row r="274" spans="2:178" s="1" customFormat="1" ht="15.75">
      <c r="B274" s="358"/>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c r="BW274" s="91"/>
      <c r="BX274" s="91"/>
      <c r="BY274" s="91"/>
      <c r="BZ274" s="91"/>
      <c r="CA274" s="91"/>
      <c r="CB274" s="91"/>
      <c r="CC274" s="91"/>
      <c r="CD274" s="91"/>
      <c r="CE274" s="91"/>
      <c r="CF274" s="91"/>
      <c r="CG274" s="91"/>
      <c r="CH274" s="91"/>
      <c r="CI274" s="91"/>
      <c r="CJ274" s="91"/>
      <c r="CK274" s="91"/>
      <c r="CL274" s="91"/>
      <c r="CM274" s="91"/>
      <c r="CN274" s="91"/>
      <c r="CO274" s="91"/>
      <c r="CP274" s="91"/>
      <c r="CQ274" s="91"/>
      <c r="CR274" s="91"/>
      <c r="CS274" s="91"/>
      <c r="CT274" s="91"/>
      <c r="CU274" s="91"/>
      <c r="CV274" s="91"/>
      <c r="CW274" s="91"/>
      <c r="CX274" s="91"/>
      <c r="CY274" s="91"/>
      <c r="CZ274" s="91"/>
      <c r="DA274" s="91"/>
      <c r="DB274" s="91"/>
      <c r="DC274" s="91"/>
      <c r="DD274" s="91"/>
      <c r="DE274" s="91"/>
      <c r="DF274" s="91"/>
      <c r="DG274" s="91"/>
      <c r="DH274" s="91"/>
      <c r="DI274" s="91"/>
      <c r="DJ274" s="91"/>
      <c r="DK274" s="91"/>
      <c r="DL274" s="91"/>
      <c r="DM274" s="91"/>
      <c r="DN274" s="91"/>
      <c r="DO274" s="91"/>
      <c r="DP274" s="91"/>
      <c r="DQ274" s="91"/>
      <c r="DR274" s="91"/>
      <c r="DS274" s="91"/>
      <c r="DT274" s="91"/>
      <c r="DU274" s="91"/>
      <c r="DV274" s="91"/>
      <c r="DW274" s="91"/>
      <c r="DX274" s="91"/>
      <c r="DY274" s="91"/>
      <c r="DZ274" s="91"/>
      <c r="EA274" s="91"/>
      <c r="EB274" s="91"/>
      <c r="EC274" s="91"/>
      <c r="ED274" s="91"/>
      <c r="EE274" s="91"/>
      <c r="EF274" s="91"/>
      <c r="EG274" s="91"/>
      <c r="EH274" s="91"/>
      <c r="EI274" s="91"/>
      <c r="EJ274" s="91"/>
      <c r="EK274" s="91"/>
      <c r="EL274" s="91"/>
      <c r="EM274" s="91"/>
      <c r="EN274" s="91"/>
      <c r="EO274" s="91"/>
      <c r="EP274" s="91"/>
      <c r="EQ274" s="91"/>
      <c r="ER274" s="91"/>
      <c r="ES274" s="91"/>
      <c r="ET274" s="91"/>
      <c r="EU274" s="91"/>
      <c r="EV274" s="91"/>
      <c r="EW274" s="91"/>
      <c r="EX274" s="91"/>
      <c r="EY274" s="91"/>
      <c r="EZ274" s="91"/>
      <c r="FA274" s="91"/>
      <c r="FB274" s="91"/>
      <c r="FC274" s="91"/>
      <c r="FD274" s="91"/>
      <c r="FE274" s="91"/>
      <c r="FF274" s="91"/>
      <c r="FG274" s="91"/>
      <c r="FH274" s="91"/>
      <c r="FI274" s="91"/>
      <c r="FJ274" s="91"/>
      <c r="FK274" s="91"/>
      <c r="FL274" s="91"/>
      <c r="FM274" s="91"/>
      <c r="FN274" s="91"/>
      <c r="FO274" s="91"/>
      <c r="FP274" s="91"/>
      <c r="FQ274" s="91"/>
      <c r="FR274" s="91"/>
      <c r="FS274" s="91"/>
      <c r="FT274" s="91"/>
      <c r="FU274" s="91"/>
      <c r="FV274" s="91"/>
    </row>
    <row r="275" spans="2:178" s="1" customFormat="1" ht="15.75">
      <c r="B275" s="358"/>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c r="BW275" s="91"/>
      <c r="BX275" s="91"/>
      <c r="BY275" s="91"/>
      <c r="BZ275" s="91"/>
      <c r="CA275" s="91"/>
      <c r="CB275" s="91"/>
      <c r="CC275" s="91"/>
      <c r="CD275" s="91"/>
      <c r="CE275" s="91"/>
      <c r="CF275" s="91"/>
      <c r="CG275" s="91"/>
      <c r="CH275" s="91"/>
      <c r="CI275" s="91"/>
      <c r="CJ275" s="91"/>
      <c r="CK275" s="91"/>
      <c r="CL275" s="91"/>
      <c r="CM275" s="91"/>
      <c r="CN275" s="91"/>
      <c r="CO275" s="91"/>
      <c r="CP275" s="91"/>
      <c r="CQ275" s="91"/>
      <c r="CR275" s="91"/>
      <c r="CS275" s="91"/>
      <c r="CT275" s="91"/>
      <c r="CU275" s="91"/>
      <c r="CV275" s="91"/>
      <c r="CW275" s="91"/>
      <c r="CX275" s="91"/>
      <c r="CY275" s="91"/>
      <c r="CZ275" s="91"/>
      <c r="DA275" s="91"/>
      <c r="DB275" s="91"/>
      <c r="DC275" s="91"/>
      <c r="DD275" s="91"/>
      <c r="DE275" s="91"/>
      <c r="DF275" s="91"/>
      <c r="DG275" s="91"/>
      <c r="DH275" s="91"/>
      <c r="DI275" s="91"/>
      <c r="DJ275" s="91"/>
      <c r="DK275" s="91"/>
      <c r="DL275" s="91"/>
      <c r="DM275" s="91"/>
      <c r="DN275" s="91"/>
      <c r="DO275" s="91"/>
      <c r="DP275" s="91"/>
      <c r="DQ275" s="91"/>
      <c r="DR275" s="91"/>
      <c r="DS275" s="91"/>
      <c r="DT275" s="91"/>
      <c r="DU275" s="91"/>
      <c r="DV275" s="91"/>
      <c r="DW275" s="91"/>
      <c r="DX275" s="91"/>
      <c r="DY275" s="91"/>
      <c r="DZ275" s="91"/>
      <c r="EA275" s="91"/>
      <c r="EB275" s="91"/>
      <c r="EC275" s="91"/>
      <c r="ED275" s="91"/>
      <c r="EE275" s="91"/>
      <c r="EF275" s="91"/>
      <c r="EG275" s="91"/>
      <c r="EH275" s="91"/>
      <c r="EI275" s="91"/>
      <c r="EJ275" s="91"/>
      <c r="EK275" s="91"/>
      <c r="EL275" s="91"/>
      <c r="EM275" s="91"/>
      <c r="EN275" s="91"/>
      <c r="EO275" s="91"/>
      <c r="EP275" s="91"/>
      <c r="EQ275" s="91"/>
      <c r="ER275" s="91"/>
      <c r="ES275" s="91"/>
      <c r="ET275" s="91"/>
      <c r="EU275" s="91"/>
      <c r="EV275" s="91"/>
      <c r="EW275" s="91"/>
      <c r="EX275" s="91"/>
      <c r="EY275" s="91"/>
      <c r="EZ275" s="91"/>
      <c r="FA275" s="91"/>
      <c r="FB275" s="91"/>
      <c r="FC275" s="91"/>
      <c r="FD275" s="91"/>
      <c r="FE275" s="91"/>
      <c r="FF275" s="91"/>
      <c r="FG275" s="91"/>
      <c r="FH275" s="91"/>
      <c r="FI275" s="91"/>
      <c r="FJ275" s="91"/>
      <c r="FK275" s="91"/>
      <c r="FL275" s="91"/>
      <c r="FM275" s="91"/>
      <c r="FN275" s="91"/>
      <c r="FO275" s="91"/>
      <c r="FP275" s="91"/>
      <c r="FQ275" s="91"/>
      <c r="FR275" s="91"/>
      <c r="FS275" s="91"/>
      <c r="FT275" s="91"/>
      <c r="FU275" s="91"/>
      <c r="FV275" s="91"/>
    </row>
    <row r="276" spans="2:178" s="1" customFormat="1" ht="15.75">
      <c r="B276" s="358"/>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c r="BW276" s="91"/>
      <c r="BX276" s="91"/>
      <c r="BY276" s="91"/>
      <c r="BZ276" s="91"/>
      <c r="CA276" s="91"/>
      <c r="CB276" s="91"/>
      <c r="CC276" s="91"/>
      <c r="CD276" s="91"/>
      <c r="CE276" s="91"/>
      <c r="CF276" s="91"/>
      <c r="CG276" s="91"/>
      <c r="CH276" s="91"/>
      <c r="CI276" s="91"/>
      <c r="CJ276" s="91"/>
      <c r="CK276" s="91"/>
      <c r="CL276" s="91"/>
      <c r="CM276" s="91"/>
      <c r="CN276" s="91"/>
      <c r="CO276" s="91"/>
      <c r="CP276" s="91"/>
      <c r="CQ276" s="91"/>
      <c r="CR276" s="91"/>
      <c r="CS276" s="91"/>
      <c r="CT276" s="91"/>
      <c r="CU276" s="91"/>
      <c r="CV276" s="91"/>
      <c r="CW276" s="91"/>
      <c r="CX276" s="91"/>
      <c r="CY276" s="91"/>
      <c r="CZ276" s="91"/>
      <c r="DA276" s="91"/>
      <c r="DB276" s="91"/>
      <c r="DC276" s="91"/>
      <c r="DD276" s="91"/>
      <c r="DE276" s="91"/>
      <c r="DF276" s="91"/>
      <c r="DG276" s="91"/>
      <c r="DH276" s="91"/>
      <c r="DI276" s="91"/>
      <c r="DJ276" s="91"/>
      <c r="DK276" s="91"/>
      <c r="DL276" s="91"/>
      <c r="DM276" s="91"/>
      <c r="DN276" s="91"/>
      <c r="DO276" s="91"/>
      <c r="DP276" s="91"/>
      <c r="DQ276" s="91"/>
      <c r="DR276" s="91"/>
      <c r="DS276" s="91"/>
      <c r="DT276" s="91"/>
      <c r="DU276" s="91"/>
      <c r="DV276" s="91"/>
      <c r="DW276" s="91"/>
      <c r="DX276" s="91"/>
      <c r="DY276" s="91"/>
      <c r="DZ276" s="91"/>
      <c r="EA276" s="91"/>
      <c r="EB276" s="91"/>
      <c r="EC276" s="91"/>
      <c r="ED276" s="91"/>
      <c r="EE276" s="91"/>
      <c r="EF276" s="91"/>
      <c r="EG276" s="91"/>
      <c r="EH276" s="91"/>
      <c r="EI276" s="91"/>
      <c r="EJ276" s="91"/>
      <c r="EK276" s="91"/>
      <c r="EL276" s="91"/>
      <c r="EM276" s="91"/>
      <c r="EN276" s="91"/>
      <c r="EO276" s="91"/>
      <c r="EP276" s="91"/>
      <c r="EQ276" s="91"/>
      <c r="ER276" s="91"/>
      <c r="ES276" s="91"/>
      <c r="ET276" s="91"/>
      <c r="EU276" s="91"/>
      <c r="EV276" s="91"/>
      <c r="EW276" s="91"/>
      <c r="EX276" s="91"/>
      <c r="EY276" s="91"/>
      <c r="EZ276" s="91"/>
      <c r="FA276" s="91"/>
      <c r="FB276" s="91"/>
      <c r="FC276" s="91"/>
      <c r="FD276" s="91"/>
      <c r="FE276" s="91"/>
      <c r="FF276" s="91"/>
      <c r="FG276" s="91"/>
      <c r="FH276" s="91"/>
      <c r="FI276" s="91"/>
      <c r="FJ276" s="91"/>
      <c r="FK276" s="91"/>
      <c r="FL276" s="91"/>
      <c r="FM276" s="91"/>
      <c r="FN276" s="91"/>
      <c r="FO276" s="91"/>
      <c r="FP276" s="91"/>
      <c r="FQ276" s="91"/>
      <c r="FR276" s="91"/>
      <c r="FS276" s="91"/>
      <c r="FT276" s="91"/>
      <c r="FU276" s="91"/>
      <c r="FV276" s="91"/>
    </row>
    <row r="277" spans="2:178" s="1" customFormat="1" ht="15.75">
      <c r="B277" s="358"/>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c r="BZ277" s="91"/>
      <c r="CA277" s="91"/>
      <c r="CB277" s="91"/>
      <c r="CC277" s="91"/>
      <c r="CD277" s="91"/>
      <c r="CE277" s="91"/>
      <c r="CF277" s="91"/>
      <c r="CG277" s="91"/>
      <c r="CH277" s="91"/>
      <c r="CI277" s="91"/>
      <c r="CJ277" s="91"/>
      <c r="CK277" s="91"/>
      <c r="CL277" s="91"/>
      <c r="CM277" s="91"/>
      <c r="CN277" s="91"/>
      <c r="CO277" s="91"/>
      <c r="CP277" s="91"/>
      <c r="CQ277" s="91"/>
      <c r="CR277" s="91"/>
      <c r="CS277" s="91"/>
      <c r="CT277" s="91"/>
      <c r="CU277" s="91"/>
      <c r="CV277" s="91"/>
      <c r="CW277" s="91"/>
      <c r="CX277" s="91"/>
      <c r="CY277" s="91"/>
      <c r="CZ277" s="91"/>
      <c r="DA277" s="91"/>
      <c r="DB277" s="91"/>
      <c r="DC277" s="91"/>
      <c r="DD277" s="91"/>
      <c r="DE277" s="91"/>
      <c r="DF277" s="91"/>
      <c r="DG277" s="91"/>
      <c r="DH277" s="91"/>
      <c r="DI277" s="91"/>
      <c r="DJ277" s="91"/>
      <c r="DK277" s="91"/>
      <c r="DL277" s="91"/>
      <c r="DM277" s="91"/>
      <c r="DN277" s="91"/>
      <c r="DO277" s="91"/>
      <c r="DP277" s="91"/>
      <c r="DQ277" s="91"/>
      <c r="DR277" s="91"/>
      <c r="DS277" s="91"/>
      <c r="DT277" s="91"/>
      <c r="DU277" s="91"/>
      <c r="DV277" s="91"/>
      <c r="DW277" s="91"/>
      <c r="DX277" s="91"/>
      <c r="DY277" s="91"/>
      <c r="DZ277" s="91"/>
      <c r="EA277" s="91"/>
      <c r="EB277" s="91"/>
      <c r="EC277" s="91"/>
      <c r="ED277" s="91"/>
      <c r="EE277" s="91"/>
      <c r="EF277" s="91"/>
      <c r="EG277" s="91"/>
      <c r="EH277" s="91"/>
      <c r="EI277" s="91"/>
      <c r="EJ277" s="91"/>
      <c r="EK277" s="91"/>
      <c r="EL277" s="91"/>
      <c r="EM277" s="91"/>
      <c r="EN277" s="91"/>
      <c r="EO277" s="91"/>
      <c r="EP277" s="91"/>
      <c r="EQ277" s="91"/>
      <c r="ER277" s="91"/>
      <c r="ES277" s="91"/>
      <c r="ET277" s="91"/>
      <c r="EU277" s="91"/>
      <c r="EV277" s="91"/>
      <c r="EW277" s="91"/>
      <c r="EX277" s="91"/>
      <c r="EY277" s="91"/>
      <c r="EZ277" s="91"/>
      <c r="FA277" s="91"/>
      <c r="FB277" s="91"/>
      <c r="FC277" s="91"/>
      <c r="FD277" s="91"/>
      <c r="FE277" s="91"/>
      <c r="FF277" s="91"/>
      <c r="FG277" s="91"/>
      <c r="FH277" s="91"/>
      <c r="FI277" s="91"/>
      <c r="FJ277" s="91"/>
      <c r="FK277" s="91"/>
      <c r="FL277" s="91"/>
      <c r="FM277" s="91"/>
      <c r="FN277" s="91"/>
      <c r="FO277" s="91"/>
      <c r="FP277" s="91"/>
      <c r="FQ277" s="91"/>
      <c r="FR277" s="91"/>
      <c r="FS277" s="91"/>
      <c r="FT277" s="91"/>
      <c r="FU277" s="91"/>
      <c r="FV277" s="91"/>
    </row>
    <row r="278" spans="2:178" s="1" customFormat="1" ht="15.75">
      <c r="B278" s="358"/>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91"/>
      <c r="CI278" s="91"/>
      <c r="CJ278" s="91"/>
      <c r="CK278" s="91"/>
      <c r="CL278" s="91"/>
      <c r="CM278" s="91"/>
      <c r="CN278" s="91"/>
      <c r="CO278" s="91"/>
      <c r="CP278" s="91"/>
      <c r="CQ278" s="91"/>
      <c r="CR278" s="91"/>
      <c r="CS278" s="91"/>
      <c r="CT278" s="91"/>
      <c r="CU278" s="91"/>
      <c r="CV278" s="91"/>
      <c r="CW278" s="91"/>
      <c r="CX278" s="91"/>
      <c r="CY278" s="91"/>
      <c r="CZ278" s="91"/>
      <c r="DA278" s="91"/>
      <c r="DB278" s="91"/>
      <c r="DC278" s="91"/>
      <c r="DD278" s="91"/>
      <c r="DE278" s="91"/>
      <c r="DF278" s="91"/>
      <c r="DG278" s="91"/>
      <c r="DH278" s="91"/>
      <c r="DI278" s="91"/>
      <c r="DJ278" s="91"/>
      <c r="DK278" s="91"/>
      <c r="DL278" s="91"/>
      <c r="DM278" s="91"/>
      <c r="DN278" s="91"/>
      <c r="DO278" s="91"/>
      <c r="DP278" s="91"/>
      <c r="DQ278" s="91"/>
      <c r="DR278" s="91"/>
      <c r="DS278" s="91"/>
      <c r="DT278" s="91"/>
      <c r="DU278" s="91"/>
      <c r="DV278" s="91"/>
      <c r="DW278" s="91"/>
      <c r="DX278" s="91"/>
      <c r="DY278" s="91"/>
      <c r="DZ278" s="91"/>
      <c r="EA278" s="91"/>
      <c r="EB278" s="91"/>
      <c r="EC278" s="91"/>
      <c r="ED278" s="91"/>
      <c r="EE278" s="91"/>
      <c r="EF278" s="91"/>
      <c r="EG278" s="91"/>
      <c r="EH278" s="91"/>
      <c r="EI278" s="91"/>
      <c r="EJ278" s="91"/>
      <c r="EK278" s="91"/>
      <c r="EL278" s="91"/>
      <c r="EM278" s="91"/>
      <c r="EN278" s="91"/>
      <c r="EO278" s="91"/>
      <c r="EP278" s="91"/>
      <c r="EQ278" s="91"/>
      <c r="ER278" s="91"/>
      <c r="ES278" s="91"/>
      <c r="ET278" s="91"/>
      <c r="EU278" s="91"/>
      <c r="EV278" s="91"/>
      <c r="EW278" s="91"/>
      <c r="EX278" s="91"/>
      <c r="EY278" s="91"/>
      <c r="EZ278" s="91"/>
      <c r="FA278" s="91"/>
      <c r="FB278" s="91"/>
      <c r="FC278" s="91"/>
      <c r="FD278" s="91"/>
      <c r="FE278" s="91"/>
      <c r="FF278" s="91"/>
      <c r="FG278" s="91"/>
      <c r="FH278" s="91"/>
      <c r="FI278" s="91"/>
      <c r="FJ278" s="91"/>
      <c r="FK278" s="91"/>
      <c r="FL278" s="91"/>
      <c r="FM278" s="91"/>
      <c r="FN278" s="91"/>
      <c r="FO278" s="91"/>
      <c r="FP278" s="91"/>
      <c r="FQ278" s="91"/>
      <c r="FR278" s="91"/>
      <c r="FS278" s="91"/>
      <c r="FT278" s="91"/>
      <c r="FU278" s="91"/>
      <c r="FV278" s="91"/>
    </row>
    <row r="279" spans="2:178" s="1" customFormat="1" ht="15.75">
      <c r="B279" s="358"/>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c r="BY279" s="91"/>
      <c r="BZ279" s="91"/>
      <c r="CA279" s="91"/>
      <c r="CB279" s="91"/>
      <c r="CC279" s="91"/>
      <c r="CD279" s="91"/>
      <c r="CE279" s="91"/>
      <c r="CF279" s="91"/>
      <c r="CG279" s="91"/>
      <c r="CH279" s="91"/>
      <c r="CI279" s="91"/>
      <c r="CJ279" s="91"/>
      <c r="CK279" s="91"/>
      <c r="CL279" s="91"/>
      <c r="CM279" s="91"/>
      <c r="CN279" s="91"/>
      <c r="CO279" s="91"/>
      <c r="CP279" s="91"/>
      <c r="CQ279" s="91"/>
      <c r="CR279" s="91"/>
      <c r="CS279" s="91"/>
      <c r="CT279" s="91"/>
      <c r="CU279" s="91"/>
      <c r="CV279" s="91"/>
      <c r="CW279" s="91"/>
      <c r="CX279" s="91"/>
      <c r="CY279" s="91"/>
      <c r="CZ279" s="91"/>
      <c r="DA279" s="91"/>
      <c r="DB279" s="91"/>
      <c r="DC279" s="91"/>
      <c r="DD279" s="91"/>
      <c r="DE279" s="91"/>
      <c r="DF279" s="91"/>
      <c r="DG279" s="91"/>
      <c r="DH279" s="91"/>
      <c r="DI279" s="91"/>
      <c r="DJ279" s="91"/>
      <c r="DK279" s="91"/>
      <c r="DL279" s="91"/>
      <c r="DM279" s="91"/>
      <c r="DN279" s="91"/>
      <c r="DO279" s="91"/>
      <c r="DP279" s="91"/>
      <c r="DQ279" s="91"/>
      <c r="DR279" s="91"/>
      <c r="DS279" s="91"/>
      <c r="DT279" s="91"/>
      <c r="DU279" s="91"/>
      <c r="DV279" s="91"/>
      <c r="DW279" s="91"/>
      <c r="DX279" s="91"/>
      <c r="DY279" s="91"/>
      <c r="DZ279" s="91"/>
      <c r="EA279" s="91"/>
      <c r="EB279" s="91"/>
      <c r="EC279" s="91"/>
      <c r="ED279" s="91"/>
      <c r="EE279" s="91"/>
      <c r="EF279" s="91"/>
      <c r="EG279" s="91"/>
      <c r="EH279" s="91"/>
      <c r="EI279" s="91"/>
      <c r="EJ279" s="91"/>
      <c r="EK279" s="91"/>
      <c r="EL279" s="91"/>
      <c r="EM279" s="91"/>
      <c r="EN279" s="91"/>
      <c r="EO279" s="91"/>
      <c r="EP279" s="91"/>
      <c r="EQ279" s="91"/>
      <c r="ER279" s="91"/>
      <c r="ES279" s="91"/>
      <c r="ET279" s="91"/>
      <c r="EU279" s="91"/>
      <c r="EV279" s="91"/>
      <c r="EW279" s="91"/>
      <c r="EX279" s="91"/>
      <c r="EY279" s="91"/>
      <c r="EZ279" s="91"/>
      <c r="FA279" s="91"/>
      <c r="FB279" s="91"/>
      <c r="FC279" s="91"/>
      <c r="FD279" s="91"/>
      <c r="FE279" s="91"/>
      <c r="FF279" s="91"/>
      <c r="FG279" s="91"/>
      <c r="FH279" s="91"/>
      <c r="FI279" s="91"/>
      <c r="FJ279" s="91"/>
      <c r="FK279" s="91"/>
      <c r="FL279" s="91"/>
      <c r="FM279" s="91"/>
      <c r="FN279" s="91"/>
      <c r="FO279" s="91"/>
      <c r="FP279" s="91"/>
      <c r="FQ279" s="91"/>
      <c r="FR279" s="91"/>
      <c r="FS279" s="91"/>
      <c r="FT279" s="91"/>
      <c r="FU279" s="91"/>
      <c r="FV279" s="91"/>
    </row>
    <row r="280" spans="2:178" s="1" customFormat="1" ht="15.75">
      <c r="B280" s="358"/>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c r="BZ280" s="91"/>
      <c r="CA280" s="91"/>
      <c r="CB280" s="91"/>
      <c r="CC280" s="91"/>
      <c r="CD280" s="91"/>
      <c r="CE280" s="91"/>
      <c r="CF280" s="91"/>
      <c r="CG280" s="91"/>
      <c r="CH280" s="91"/>
      <c r="CI280" s="91"/>
      <c r="CJ280" s="91"/>
      <c r="CK280" s="91"/>
      <c r="CL280" s="91"/>
      <c r="CM280" s="91"/>
      <c r="CN280" s="91"/>
      <c r="CO280" s="91"/>
      <c r="CP280" s="91"/>
      <c r="CQ280" s="91"/>
      <c r="CR280" s="91"/>
      <c r="CS280" s="91"/>
      <c r="CT280" s="91"/>
      <c r="CU280" s="91"/>
      <c r="CV280" s="91"/>
      <c r="CW280" s="91"/>
      <c r="CX280" s="91"/>
      <c r="CY280" s="91"/>
      <c r="CZ280" s="91"/>
      <c r="DA280" s="91"/>
      <c r="DB280" s="91"/>
      <c r="DC280" s="91"/>
      <c r="DD280" s="91"/>
      <c r="DE280" s="91"/>
      <c r="DF280" s="91"/>
      <c r="DG280" s="91"/>
      <c r="DH280" s="91"/>
      <c r="DI280" s="91"/>
      <c r="DJ280" s="91"/>
      <c r="DK280" s="91"/>
      <c r="DL280" s="91"/>
      <c r="DM280" s="91"/>
      <c r="DN280" s="91"/>
      <c r="DO280" s="91"/>
      <c r="DP280" s="91"/>
      <c r="DQ280" s="91"/>
      <c r="DR280" s="91"/>
      <c r="DS280" s="91"/>
      <c r="DT280" s="91"/>
      <c r="DU280" s="91"/>
      <c r="DV280" s="91"/>
      <c r="DW280" s="91"/>
      <c r="DX280" s="91"/>
      <c r="DY280" s="91"/>
      <c r="DZ280" s="91"/>
      <c r="EA280" s="91"/>
      <c r="EB280" s="91"/>
      <c r="EC280" s="91"/>
      <c r="ED280" s="91"/>
      <c r="EE280" s="91"/>
      <c r="EF280" s="91"/>
      <c r="EG280" s="91"/>
      <c r="EH280" s="91"/>
      <c r="EI280" s="91"/>
      <c r="EJ280" s="91"/>
      <c r="EK280" s="91"/>
      <c r="EL280" s="91"/>
      <c r="EM280" s="91"/>
      <c r="EN280" s="91"/>
      <c r="EO280" s="91"/>
      <c r="EP280" s="91"/>
      <c r="EQ280" s="91"/>
      <c r="ER280" s="91"/>
      <c r="ES280" s="91"/>
      <c r="ET280" s="91"/>
      <c r="EU280" s="91"/>
      <c r="EV280" s="91"/>
      <c r="EW280" s="91"/>
      <c r="EX280" s="91"/>
      <c r="EY280" s="91"/>
      <c r="EZ280" s="91"/>
      <c r="FA280" s="91"/>
      <c r="FB280" s="91"/>
      <c r="FC280" s="91"/>
      <c r="FD280" s="91"/>
      <c r="FE280" s="91"/>
      <c r="FF280" s="91"/>
      <c r="FG280" s="91"/>
      <c r="FH280" s="91"/>
      <c r="FI280" s="91"/>
      <c r="FJ280" s="91"/>
      <c r="FK280" s="91"/>
      <c r="FL280" s="91"/>
      <c r="FM280" s="91"/>
      <c r="FN280" s="91"/>
      <c r="FO280" s="91"/>
      <c r="FP280" s="91"/>
      <c r="FQ280" s="91"/>
      <c r="FR280" s="91"/>
      <c r="FS280" s="91"/>
      <c r="FT280" s="91"/>
      <c r="FU280" s="91"/>
      <c r="FV280" s="91"/>
    </row>
    <row r="281" spans="2:178" s="1" customFormat="1" ht="15.75">
      <c r="B281" s="358"/>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c r="BW281" s="91"/>
      <c r="BX281" s="91"/>
      <c r="BY281" s="91"/>
      <c r="BZ281" s="91"/>
      <c r="CA281" s="91"/>
      <c r="CB281" s="91"/>
      <c r="CC281" s="91"/>
      <c r="CD281" s="91"/>
      <c r="CE281" s="91"/>
      <c r="CF281" s="91"/>
      <c r="CG281" s="91"/>
      <c r="CH281" s="91"/>
      <c r="CI281" s="91"/>
      <c r="CJ281" s="91"/>
      <c r="CK281" s="91"/>
      <c r="CL281" s="91"/>
      <c r="CM281" s="91"/>
      <c r="CN281" s="91"/>
      <c r="CO281" s="91"/>
      <c r="CP281" s="91"/>
      <c r="CQ281" s="91"/>
      <c r="CR281" s="91"/>
      <c r="CS281" s="91"/>
      <c r="CT281" s="91"/>
      <c r="CU281" s="91"/>
      <c r="CV281" s="91"/>
      <c r="CW281" s="91"/>
      <c r="CX281" s="91"/>
      <c r="CY281" s="91"/>
      <c r="CZ281" s="91"/>
      <c r="DA281" s="91"/>
      <c r="DB281" s="91"/>
      <c r="DC281" s="91"/>
      <c r="DD281" s="91"/>
      <c r="DE281" s="91"/>
      <c r="DF281" s="91"/>
      <c r="DG281" s="91"/>
      <c r="DH281" s="91"/>
      <c r="DI281" s="91"/>
      <c r="DJ281" s="91"/>
      <c r="DK281" s="91"/>
      <c r="DL281" s="91"/>
      <c r="DM281" s="91"/>
      <c r="DN281" s="91"/>
      <c r="DO281" s="91"/>
      <c r="DP281" s="91"/>
      <c r="DQ281" s="91"/>
      <c r="DR281" s="91"/>
      <c r="DS281" s="91"/>
      <c r="DT281" s="91"/>
      <c r="DU281" s="91"/>
      <c r="DV281" s="91"/>
      <c r="DW281" s="91"/>
      <c r="DX281" s="91"/>
      <c r="DY281" s="91"/>
      <c r="DZ281" s="91"/>
      <c r="EA281" s="91"/>
      <c r="EB281" s="91"/>
      <c r="EC281" s="91"/>
      <c r="ED281" s="91"/>
      <c r="EE281" s="91"/>
      <c r="EF281" s="91"/>
      <c r="EG281" s="91"/>
      <c r="EH281" s="91"/>
      <c r="EI281" s="91"/>
      <c r="EJ281" s="91"/>
      <c r="EK281" s="91"/>
      <c r="EL281" s="91"/>
      <c r="EM281" s="91"/>
      <c r="EN281" s="91"/>
      <c r="EO281" s="91"/>
      <c r="EP281" s="91"/>
      <c r="EQ281" s="91"/>
      <c r="ER281" s="91"/>
      <c r="ES281" s="91"/>
      <c r="ET281" s="91"/>
      <c r="EU281" s="91"/>
      <c r="EV281" s="91"/>
      <c r="EW281" s="91"/>
      <c r="EX281" s="91"/>
      <c r="EY281" s="91"/>
      <c r="EZ281" s="91"/>
      <c r="FA281" s="91"/>
      <c r="FB281" s="91"/>
      <c r="FC281" s="91"/>
      <c r="FD281" s="91"/>
      <c r="FE281" s="91"/>
      <c r="FF281" s="91"/>
      <c r="FG281" s="91"/>
      <c r="FH281" s="91"/>
      <c r="FI281" s="91"/>
      <c r="FJ281" s="91"/>
      <c r="FK281" s="91"/>
      <c r="FL281" s="91"/>
      <c r="FM281" s="91"/>
      <c r="FN281" s="91"/>
      <c r="FO281" s="91"/>
      <c r="FP281" s="91"/>
      <c r="FQ281" s="91"/>
      <c r="FR281" s="91"/>
      <c r="FS281" s="91"/>
      <c r="FT281" s="91"/>
      <c r="FU281" s="91"/>
      <c r="FV281" s="91"/>
    </row>
    <row r="282" spans="2:178" s="1" customFormat="1" ht="15.75">
      <c r="B282" s="358"/>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91"/>
      <c r="CI282" s="91"/>
      <c r="CJ282" s="91"/>
      <c r="CK282" s="91"/>
      <c r="CL282" s="91"/>
      <c r="CM282" s="91"/>
      <c r="CN282" s="91"/>
      <c r="CO282" s="91"/>
      <c r="CP282" s="91"/>
      <c r="CQ282" s="91"/>
      <c r="CR282" s="91"/>
      <c r="CS282" s="91"/>
      <c r="CT282" s="91"/>
      <c r="CU282" s="91"/>
      <c r="CV282" s="91"/>
      <c r="CW282" s="91"/>
      <c r="CX282" s="91"/>
      <c r="CY282" s="91"/>
      <c r="CZ282" s="91"/>
      <c r="DA282" s="91"/>
      <c r="DB282" s="91"/>
      <c r="DC282" s="91"/>
      <c r="DD282" s="91"/>
      <c r="DE282" s="91"/>
      <c r="DF282" s="91"/>
      <c r="DG282" s="91"/>
      <c r="DH282" s="91"/>
      <c r="DI282" s="91"/>
      <c r="DJ282" s="91"/>
      <c r="DK282" s="91"/>
      <c r="DL282" s="91"/>
      <c r="DM282" s="91"/>
      <c r="DN282" s="91"/>
      <c r="DO282" s="91"/>
      <c r="DP282" s="91"/>
      <c r="DQ282" s="91"/>
      <c r="DR282" s="91"/>
      <c r="DS282" s="91"/>
      <c r="DT282" s="91"/>
      <c r="DU282" s="91"/>
      <c r="DV282" s="91"/>
      <c r="DW282" s="91"/>
      <c r="DX282" s="91"/>
      <c r="DY282" s="91"/>
      <c r="DZ282" s="91"/>
      <c r="EA282" s="91"/>
      <c r="EB282" s="91"/>
      <c r="EC282" s="91"/>
      <c r="ED282" s="91"/>
      <c r="EE282" s="91"/>
      <c r="EF282" s="91"/>
      <c r="EG282" s="91"/>
      <c r="EH282" s="91"/>
      <c r="EI282" s="91"/>
      <c r="EJ282" s="91"/>
      <c r="EK282" s="91"/>
      <c r="EL282" s="91"/>
      <c r="EM282" s="91"/>
      <c r="EN282" s="91"/>
      <c r="EO282" s="91"/>
      <c r="EP282" s="91"/>
      <c r="EQ282" s="91"/>
      <c r="ER282" s="91"/>
      <c r="ES282" s="91"/>
      <c r="ET282" s="91"/>
      <c r="EU282" s="91"/>
      <c r="EV282" s="91"/>
      <c r="EW282" s="91"/>
      <c r="EX282" s="91"/>
      <c r="EY282" s="91"/>
      <c r="EZ282" s="91"/>
      <c r="FA282" s="91"/>
      <c r="FB282" s="91"/>
      <c r="FC282" s="91"/>
      <c r="FD282" s="91"/>
      <c r="FE282" s="91"/>
      <c r="FF282" s="91"/>
      <c r="FG282" s="91"/>
      <c r="FH282" s="91"/>
      <c r="FI282" s="91"/>
      <c r="FJ282" s="91"/>
      <c r="FK282" s="91"/>
      <c r="FL282" s="91"/>
      <c r="FM282" s="91"/>
      <c r="FN282" s="91"/>
      <c r="FO282" s="91"/>
      <c r="FP282" s="91"/>
      <c r="FQ282" s="91"/>
      <c r="FR282" s="91"/>
      <c r="FS282" s="91"/>
      <c r="FT282" s="91"/>
      <c r="FU282" s="91"/>
      <c r="FV282" s="91"/>
    </row>
    <row r="283" spans="2:178" s="1" customFormat="1" ht="15.75">
      <c r="B283" s="358"/>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91"/>
      <c r="CI283" s="91"/>
      <c r="CJ283" s="91"/>
      <c r="CK283" s="91"/>
      <c r="CL283" s="91"/>
      <c r="CM283" s="91"/>
      <c r="CN283" s="91"/>
      <c r="CO283" s="91"/>
      <c r="CP283" s="91"/>
      <c r="CQ283" s="91"/>
      <c r="CR283" s="91"/>
      <c r="CS283" s="91"/>
      <c r="CT283" s="91"/>
      <c r="CU283" s="91"/>
      <c r="CV283" s="91"/>
      <c r="CW283" s="91"/>
      <c r="CX283" s="91"/>
      <c r="CY283" s="91"/>
      <c r="CZ283" s="91"/>
      <c r="DA283" s="91"/>
      <c r="DB283" s="91"/>
      <c r="DC283" s="91"/>
      <c r="DD283" s="91"/>
      <c r="DE283" s="91"/>
      <c r="DF283" s="91"/>
      <c r="DG283" s="91"/>
      <c r="DH283" s="91"/>
      <c r="DI283" s="91"/>
      <c r="DJ283" s="91"/>
      <c r="DK283" s="91"/>
      <c r="DL283" s="91"/>
      <c r="DM283" s="91"/>
      <c r="DN283" s="91"/>
      <c r="DO283" s="91"/>
      <c r="DP283" s="91"/>
      <c r="DQ283" s="91"/>
      <c r="DR283" s="91"/>
      <c r="DS283" s="91"/>
      <c r="DT283" s="91"/>
      <c r="DU283" s="91"/>
      <c r="DV283" s="91"/>
      <c r="DW283" s="91"/>
      <c r="DX283" s="91"/>
      <c r="DY283" s="91"/>
      <c r="DZ283" s="91"/>
      <c r="EA283" s="91"/>
      <c r="EB283" s="91"/>
      <c r="EC283" s="91"/>
      <c r="ED283" s="91"/>
      <c r="EE283" s="91"/>
      <c r="EF283" s="91"/>
      <c r="EG283" s="91"/>
      <c r="EH283" s="91"/>
      <c r="EI283" s="91"/>
      <c r="EJ283" s="91"/>
      <c r="EK283" s="91"/>
      <c r="EL283" s="91"/>
      <c r="EM283" s="91"/>
      <c r="EN283" s="91"/>
      <c r="EO283" s="91"/>
      <c r="EP283" s="91"/>
      <c r="EQ283" s="91"/>
      <c r="ER283" s="91"/>
      <c r="ES283" s="91"/>
      <c r="ET283" s="91"/>
      <c r="EU283" s="91"/>
      <c r="EV283" s="91"/>
      <c r="EW283" s="91"/>
      <c r="EX283" s="91"/>
      <c r="EY283" s="91"/>
      <c r="EZ283" s="91"/>
      <c r="FA283" s="91"/>
      <c r="FB283" s="91"/>
      <c r="FC283" s="91"/>
      <c r="FD283" s="91"/>
      <c r="FE283" s="91"/>
      <c r="FF283" s="91"/>
      <c r="FG283" s="91"/>
      <c r="FH283" s="91"/>
      <c r="FI283" s="91"/>
      <c r="FJ283" s="91"/>
      <c r="FK283" s="91"/>
      <c r="FL283" s="91"/>
      <c r="FM283" s="91"/>
      <c r="FN283" s="91"/>
      <c r="FO283" s="91"/>
      <c r="FP283" s="91"/>
      <c r="FQ283" s="91"/>
      <c r="FR283" s="91"/>
      <c r="FS283" s="91"/>
      <c r="FT283" s="91"/>
      <c r="FU283" s="91"/>
      <c r="FV283" s="91"/>
    </row>
    <row r="284" spans="2:178" s="1" customFormat="1" ht="15.75">
      <c r="B284" s="358"/>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91"/>
      <c r="BU284" s="91"/>
      <c r="BV284" s="91"/>
      <c r="BW284" s="91"/>
      <c r="BX284" s="91"/>
      <c r="BY284" s="91"/>
      <c r="BZ284" s="91"/>
      <c r="CA284" s="91"/>
      <c r="CB284" s="91"/>
      <c r="CC284" s="91"/>
      <c r="CD284" s="91"/>
      <c r="CE284" s="91"/>
      <c r="CF284" s="91"/>
      <c r="CG284" s="91"/>
      <c r="CH284" s="91"/>
      <c r="CI284" s="91"/>
      <c r="CJ284" s="91"/>
      <c r="CK284" s="91"/>
      <c r="CL284" s="91"/>
      <c r="CM284" s="91"/>
      <c r="CN284" s="91"/>
      <c r="CO284" s="91"/>
      <c r="CP284" s="91"/>
      <c r="CQ284" s="91"/>
      <c r="CR284" s="91"/>
      <c r="CS284" s="91"/>
      <c r="CT284" s="91"/>
      <c r="CU284" s="91"/>
      <c r="CV284" s="91"/>
      <c r="CW284" s="91"/>
      <c r="CX284" s="91"/>
      <c r="CY284" s="91"/>
      <c r="CZ284" s="91"/>
      <c r="DA284" s="91"/>
      <c r="DB284" s="91"/>
      <c r="DC284" s="91"/>
      <c r="DD284" s="91"/>
      <c r="DE284" s="91"/>
      <c r="DF284" s="91"/>
      <c r="DG284" s="91"/>
      <c r="DH284" s="91"/>
      <c r="DI284" s="91"/>
      <c r="DJ284" s="91"/>
      <c r="DK284" s="91"/>
      <c r="DL284" s="91"/>
      <c r="DM284" s="91"/>
      <c r="DN284" s="91"/>
      <c r="DO284" s="91"/>
      <c r="DP284" s="91"/>
      <c r="DQ284" s="91"/>
      <c r="DR284" s="91"/>
      <c r="DS284" s="91"/>
      <c r="DT284" s="91"/>
      <c r="DU284" s="91"/>
      <c r="DV284" s="91"/>
      <c r="DW284" s="91"/>
      <c r="DX284" s="91"/>
      <c r="DY284" s="91"/>
      <c r="DZ284" s="91"/>
      <c r="EA284" s="91"/>
      <c r="EB284" s="91"/>
      <c r="EC284" s="91"/>
      <c r="ED284" s="91"/>
      <c r="EE284" s="91"/>
      <c r="EF284" s="91"/>
      <c r="EG284" s="91"/>
      <c r="EH284" s="91"/>
      <c r="EI284" s="91"/>
      <c r="EJ284" s="91"/>
      <c r="EK284" s="91"/>
      <c r="EL284" s="91"/>
      <c r="EM284" s="91"/>
      <c r="EN284" s="91"/>
      <c r="EO284" s="91"/>
      <c r="EP284" s="91"/>
      <c r="EQ284" s="91"/>
      <c r="ER284" s="91"/>
      <c r="ES284" s="91"/>
      <c r="ET284" s="91"/>
      <c r="EU284" s="91"/>
      <c r="EV284" s="91"/>
      <c r="EW284" s="91"/>
      <c r="EX284" s="91"/>
      <c r="EY284" s="91"/>
      <c r="EZ284" s="91"/>
      <c r="FA284" s="91"/>
      <c r="FB284" s="91"/>
      <c r="FC284" s="91"/>
      <c r="FD284" s="91"/>
      <c r="FE284" s="91"/>
      <c r="FF284" s="91"/>
      <c r="FG284" s="91"/>
      <c r="FH284" s="91"/>
      <c r="FI284" s="91"/>
      <c r="FJ284" s="91"/>
      <c r="FK284" s="91"/>
      <c r="FL284" s="91"/>
      <c r="FM284" s="91"/>
      <c r="FN284" s="91"/>
      <c r="FO284" s="91"/>
      <c r="FP284" s="91"/>
      <c r="FQ284" s="91"/>
      <c r="FR284" s="91"/>
      <c r="FS284" s="91"/>
      <c r="FT284" s="91"/>
      <c r="FU284" s="91"/>
      <c r="FV284" s="91"/>
    </row>
    <row r="285" spans="2:178" s="1" customFormat="1" ht="15.75">
      <c r="B285" s="358"/>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c r="CD285" s="91"/>
      <c r="CE285" s="91"/>
      <c r="CF285" s="91"/>
      <c r="CG285" s="91"/>
      <c r="CH285" s="91"/>
      <c r="CI285" s="91"/>
      <c r="CJ285" s="91"/>
      <c r="CK285" s="91"/>
      <c r="CL285" s="91"/>
      <c r="CM285" s="91"/>
      <c r="CN285" s="91"/>
      <c r="CO285" s="91"/>
      <c r="CP285" s="91"/>
      <c r="CQ285" s="91"/>
      <c r="CR285" s="91"/>
      <c r="CS285" s="91"/>
      <c r="CT285" s="91"/>
      <c r="CU285" s="91"/>
      <c r="CV285" s="91"/>
      <c r="CW285" s="91"/>
      <c r="CX285" s="91"/>
      <c r="CY285" s="91"/>
      <c r="CZ285" s="91"/>
      <c r="DA285" s="91"/>
      <c r="DB285" s="91"/>
      <c r="DC285" s="91"/>
      <c r="DD285" s="91"/>
      <c r="DE285" s="91"/>
      <c r="DF285" s="91"/>
      <c r="DG285" s="91"/>
      <c r="DH285" s="91"/>
      <c r="DI285" s="91"/>
      <c r="DJ285" s="91"/>
      <c r="DK285" s="91"/>
      <c r="DL285" s="91"/>
      <c r="DM285" s="91"/>
      <c r="DN285" s="91"/>
      <c r="DO285" s="91"/>
      <c r="DP285" s="91"/>
      <c r="DQ285" s="91"/>
      <c r="DR285" s="91"/>
      <c r="DS285" s="91"/>
      <c r="DT285" s="91"/>
      <c r="DU285" s="91"/>
      <c r="DV285" s="91"/>
      <c r="DW285" s="91"/>
      <c r="DX285" s="91"/>
      <c r="DY285" s="91"/>
      <c r="DZ285" s="91"/>
      <c r="EA285" s="91"/>
      <c r="EB285" s="91"/>
      <c r="EC285" s="91"/>
      <c r="ED285" s="91"/>
      <c r="EE285" s="91"/>
      <c r="EF285" s="91"/>
      <c r="EG285" s="91"/>
      <c r="EH285" s="91"/>
      <c r="EI285" s="91"/>
      <c r="EJ285" s="91"/>
      <c r="EK285" s="91"/>
      <c r="EL285" s="91"/>
      <c r="EM285" s="91"/>
      <c r="EN285" s="91"/>
      <c r="EO285" s="91"/>
      <c r="EP285" s="91"/>
      <c r="EQ285" s="91"/>
      <c r="ER285" s="91"/>
      <c r="ES285" s="91"/>
      <c r="ET285" s="91"/>
      <c r="EU285" s="91"/>
      <c r="EV285" s="91"/>
      <c r="EW285" s="91"/>
      <c r="EX285" s="91"/>
      <c r="EY285" s="91"/>
      <c r="EZ285" s="91"/>
      <c r="FA285" s="91"/>
      <c r="FB285" s="91"/>
      <c r="FC285" s="91"/>
      <c r="FD285" s="91"/>
      <c r="FE285" s="91"/>
      <c r="FF285" s="91"/>
      <c r="FG285" s="91"/>
      <c r="FH285" s="91"/>
      <c r="FI285" s="91"/>
      <c r="FJ285" s="91"/>
      <c r="FK285" s="91"/>
      <c r="FL285" s="91"/>
      <c r="FM285" s="91"/>
      <c r="FN285" s="91"/>
      <c r="FO285" s="91"/>
      <c r="FP285" s="91"/>
      <c r="FQ285" s="91"/>
      <c r="FR285" s="91"/>
      <c r="FS285" s="91"/>
      <c r="FT285" s="91"/>
      <c r="FU285" s="91"/>
      <c r="FV285" s="91"/>
    </row>
    <row r="286" spans="2:178" s="1" customFormat="1" ht="15.75">
      <c r="B286" s="358"/>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91"/>
      <c r="CI286" s="91"/>
      <c r="CJ286" s="91"/>
      <c r="CK286" s="91"/>
      <c r="CL286" s="91"/>
      <c r="CM286" s="91"/>
      <c r="CN286" s="91"/>
      <c r="CO286" s="91"/>
      <c r="CP286" s="91"/>
      <c r="CQ286" s="91"/>
      <c r="CR286" s="91"/>
      <c r="CS286" s="91"/>
      <c r="CT286" s="91"/>
      <c r="CU286" s="91"/>
      <c r="CV286" s="91"/>
      <c r="CW286" s="91"/>
      <c r="CX286" s="91"/>
      <c r="CY286" s="91"/>
      <c r="CZ286" s="91"/>
      <c r="DA286" s="91"/>
      <c r="DB286" s="91"/>
      <c r="DC286" s="91"/>
      <c r="DD286" s="91"/>
      <c r="DE286" s="91"/>
      <c r="DF286" s="91"/>
      <c r="DG286" s="91"/>
      <c r="DH286" s="91"/>
      <c r="DI286" s="91"/>
      <c r="DJ286" s="91"/>
      <c r="DK286" s="91"/>
      <c r="DL286" s="91"/>
      <c r="DM286" s="91"/>
      <c r="DN286" s="91"/>
      <c r="DO286" s="91"/>
      <c r="DP286" s="91"/>
      <c r="DQ286" s="91"/>
      <c r="DR286" s="91"/>
      <c r="DS286" s="91"/>
      <c r="DT286" s="91"/>
      <c r="DU286" s="91"/>
      <c r="DV286" s="91"/>
      <c r="DW286" s="91"/>
      <c r="DX286" s="91"/>
      <c r="DY286" s="91"/>
      <c r="DZ286" s="91"/>
      <c r="EA286" s="91"/>
      <c r="EB286" s="91"/>
      <c r="EC286" s="91"/>
      <c r="ED286" s="91"/>
      <c r="EE286" s="91"/>
      <c r="EF286" s="91"/>
      <c r="EG286" s="91"/>
      <c r="EH286" s="91"/>
      <c r="EI286" s="91"/>
      <c r="EJ286" s="91"/>
      <c r="EK286" s="91"/>
      <c r="EL286" s="91"/>
      <c r="EM286" s="91"/>
      <c r="EN286" s="91"/>
      <c r="EO286" s="91"/>
      <c r="EP286" s="91"/>
      <c r="EQ286" s="91"/>
      <c r="ER286" s="91"/>
      <c r="ES286" s="91"/>
      <c r="ET286" s="91"/>
      <c r="EU286" s="91"/>
      <c r="EV286" s="91"/>
      <c r="EW286" s="91"/>
      <c r="EX286" s="91"/>
      <c r="EY286" s="91"/>
      <c r="EZ286" s="91"/>
      <c r="FA286" s="91"/>
      <c r="FB286" s="91"/>
      <c r="FC286" s="91"/>
      <c r="FD286" s="91"/>
      <c r="FE286" s="91"/>
      <c r="FF286" s="91"/>
      <c r="FG286" s="91"/>
      <c r="FH286" s="91"/>
      <c r="FI286" s="91"/>
      <c r="FJ286" s="91"/>
      <c r="FK286" s="91"/>
      <c r="FL286" s="91"/>
      <c r="FM286" s="91"/>
      <c r="FN286" s="91"/>
      <c r="FO286" s="91"/>
      <c r="FP286" s="91"/>
      <c r="FQ286" s="91"/>
      <c r="FR286" s="91"/>
      <c r="FS286" s="91"/>
      <c r="FT286" s="91"/>
      <c r="FU286" s="91"/>
      <c r="FV286" s="91"/>
    </row>
    <row r="287" spans="2:178" s="1" customFormat="1" ht="15.75">
      <c r="B287" s="358"/>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91"/>
      <c r="CI287" s="91"/>
      <c r="CJ287" s="91"/>
      <c r="CK287" s="91"/>
      <c r="CL287" s="91"/>
      <c r="CM287" s="91"/>
      <c r="CN287" s="91"/>
      <c r="CO287" s="91"/>
      <c r="CP287" s="91"/>
      <c r="CQ287" s="91"/>
      <c r="CR287" s="91"/>
      <c r="CS287" s="91"/>
      <c r="CT287" s="91"/>
      <c r="CU287" s="91"/>
      <c r="CV287" s="91"/>
      <c r="CW287" s="91"/>
      <c r="CX287" s="91"/>
      <c r="CY287" s="91"/>
      <c r="CZ287" s="91"/>
      <c r="DA287" s="91"/>
      <c r="DB287" s="91"/>
      <c r="DC287" s="91"/>
      <c r="DD287" s="91"/>
      <c r="DE287" s="91"/>
      <c r="DF287" s="91"/>
      <c r="DG287" s="91"/>
      <c r="DH287" s="91"/>
      <c r="DI287" s="91"/>
      <c r="DJ287" s="91"/>
      <c r="DK287" s="91"/>
      <c r="DL287" s="91"/>
      <c r="DM287" s="91"/>
      <c r="DN287" s="91"/>
      <c r="DO287" s="91"/>
      <c r="DP287" s="91"/>
      <c r="DQ287" s="91"/>
      <c r="DR287" s="91"/>
      <c r="DS287" s="91"/>
      <c r="DT287" s="91"/>
      <c r="DU287" s="91"/>
      <c r="DV287" s="91"/>
      <c r="DW287" s="91"/>
      <c r="DX287" s="91"/>
      <c r="DY287" s="91"/>
      <c r="DZ287" s="91"/>
      <c r="EA287" s="91"/>
      <c r="EB287" s="91"/>
      <c r="EC287" s="91"/>
      <c r="ED287" s="91"/>
      <c r="EE287" s="91"/>
      <c r="EF287" s="91"/>
      <c r="EG287" s="91"/>
      <c r="EH287" s="91"/>
      <c r="EI287" s="91"/>
      <c r="EJ287" s="91"/>
      <c r="EK287" s="91"/>
      <c r="EL287" s="91"/>
      <c r="EM287" s="91"/>
      <c r="EN287" s="91"/>
      <c r="EO287" s="91"/>
      <c r="EP287" s="91"/>
      <c r="EQ287" s="91"/>
      <c r="ER287" s="91"/>
      <c r="ES287" s="91"/>
      <c r="ET287" s="91"/>
      <c r="EU287" s="91"/>
      <c r="EV287" s="91"/>
      <c r="EW287" s="91"/>
      <c r="EX287" s="91"/>
      <c r="EY287" s="91"/>
      <c r="EZ287" s="91"/>
      <c r="FA287" s="91"/>
      <c r="FB287" s="91"/>
      <c r="FC287" s="91"/>
      <c r="FD287" s="91"/>
      <c r="FE287" s="91"/>
      <c r="FF287" s="91"/>
      <c r="FG287" s="91"/>
      <c r="FH287" s="91"/>
      <c r="FI287" s="91"/>
      <c r="FJ287" s="91"/>
      <c r="FK287" s="91"/>
      <c r="FL287" s="91"/>
      <c r="FM287" s="91"/>
      <c r="FN287" s="91"/>
      <c r="FO287" s="91"/>
      <c r="FP287" s="91"/>
      <c r="FQ287" s="91"/>
      <c r="FR287" s="91"/>
      <c r="FS287" s="91"/>
      <c r="FT287" s="91"/>
      <c r="FU287" s="91"/>
      <c r="FV287" s="91"/>
    </row>
    <row r="288" spans="2:178" s="1" customFormat="1" ht="15.75">
      <c r="B288" s="358"/>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91"/>
      <c r="CI288" s="91"/>
      <c r="CJ288" s="91"/>
      <c r="CK288" s="91"/>
      <c r="CL288" s="91"/>
      <c r="CM288" s="91"/>
      <c r="CN288" s="91"/>
      <c r="CO288" s="91"/>
      <c r="CP288" s="91"/>
      <c r="CQ288" s="91"/>
      <c r="CR288" s="91"/>
      <c r="CS288" s="91"/>
      <c r="CT288" s="91"/>
      <c r="CU288" s="91"/>
      <c r="CV288" s="91"/>
      <c r="CW288" s="91"/>
      <c r="CX288" s="91"/>
      <c r="CY288" s="91"/>
      <c r="CZ288" s="91"/>
      <c r="DA288" s="91"/>
      <c r="DB288" s="91"/>
      <c r="DC288" s="91"/>
      <c r="DD288" s="91"/>
      <c r="DE288" s="91"/>
      <c r="DF288" s="91"/>
      <c r="DG288" s="91"/>
      <c r="DH288" s="91"/>
      <c r="DI288" s="91"/>
      <c r="DJ288" s="91"/>
      <c r="DK288" s="91"/>
      <c r="DL288" s="91"/>
      <c r="DM288" s="91"/>
      <c r="DN288" s="91"/>
      <c r="DO288" s="91"/>
      <c r="DP288" s="91"/>
      <c r="DQ288" s="91"/>
      <c r="DR288" s="91"/>
      <c r="DS288" s="91"/>
      <c r="DT288" s="91"/>
      <c r="DU288" s="91"/>
      <c r="DV288" s="91"/>
      <c r="DW288" s="91"/>
      <c r="DX288" s="91"/>
      <c r="DY288" s="91"/>
      <c r="DZ288" s="91"/>
      <c r="EA288" s="91"/>
      <c r="EB288" s="91"/>
      <c r="EC288" s="91"/>
      <c r="ED288" s="91"/>
      <c r="EE288" s="91"/>
      <c r="EF288" s="91"/>
      <c r="EG288" s="91"/>
      <c r="EH288" s="91"/>
      <c r="EI288" s="91"/>
      <c r="EJ288" s="91"/>
      <c r="EK288" s="91"/>
      <c r="EL288" s="91"/>
      <c r="EM288" s="91"/>
      <c r="EN288" s="91"/>
      <c r="EO288" s="91"/>
      <c r="EP288" s="91"/>
      <c r="EQ288" s="91"/>
      <c r="ER288" s="91"/>
      <c r="ES288" s="91"/>
      <c r="ET288" s="91"/>
      <c r="EU288" s="91"/>
      <c r="EV288" s="91"/>
      <c r="EW288" s="91"/>
      <c r="EX288" s="91"/>
      <c r="EY288" s="91"/>
      <c r="EZ288" s="91"/>
      <c r="FA288" s="91"/>
      <c r="FB288" s="91"/>
      <c r="FC288" s="91"/>
      <c r="FD288" s="91"/>
      <c r="FE288" s="91"/>
      <c r="FF288" s="91"/>
      <c r="FG288" s="91"/>
      <c r="FH288" s="91"/>
      <c r="FI288" s="91"/>
      <c r="FJ288" s="91"/>
      <c r="FK288" s="91"/>
      <c r="FL288" s="91"/>
      <c r="FM288" s="91"/>
      <c r="FN288" s="91"/>
      <c r="FO288" s="91"/>
      <c r="FP288" s="91"/>
      <c r="FQ288" s="91"/>
      <c r="FR288" s="91"/>
      <c r="FS288" s="91"/>
      <c r="FT288" s="91"/>
      <c r="FU288" s="91"/>
      <c r="FV288" s="91"/>
    </row>
    <row r="289" spans="2:178" s="1" customFormat="1" ht="15.75">
      <c r="B289" s="358"/>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91"/>
      <c r="CI289" s="91"/>
      <c r="CJ289" s="91"/>
      <c r="CK289" s="91"/>
      <c r="CL289" s="91"/>
      <c r="CM289" s="91"/>
      <c r="CN289" s="91"/>
      <c r="CO289" s="91"/>
      <c r="CP289" s="91"/>
      <c r="CQ289" s="91"/>
      <c r="CR289" s="91"/>
      <c r="CS289" s="91"/>
      <c r="CT289" s="91"/>
      <c r="CU289" s="91"/>
      <c r="CV289" s="91"/>
      <c r="CW289" s="91"/>
      <c r="CX289" s="91"/>
      <c r="CY289" s="91"/>
      <c r="CZ289" s="91"/>
      <c r="DA289" s="91"/>
      <c r="DB289" s="91"/>
      <c r="DC289" s="91"/>
      <c r="DD289" s="91"/>
      <c r="DE289" s="91"/>
      <c r="DF289" s="91"/>
      <c r="DG289" s="91"/>
      <c r="DH289" s="91"/>
      <c r="DI289" s="91"/>
      <c r="DJ289" s="91"/>
      <c r="DK289" s="91"/>
      <c r="DL289" s="91"/>
      <c r="DM289" s="91"/>
      <c r="DN289" s="91"/>
      <c r="DO289" s="91"/>
      <c r="DP289" s="91"/>
      <c r="DQ289" s="91"/>
      <c r="DR289" s="91"/>
      <c r="DS289" s="91"/>
      <c r="DT289" s="91"/>
      <c r="DU289" s="91"/>
      <c r="DV289" s="91"/>
      <c r="DW289" s="91"/>
      <c r="DX289" s="91"/>
      <c r="DY289" s="91"/>
      <c r="DZ289" s="91"/>
      <c r="EA289" s="91"/>
      <c r="EB289" s="91"/>
      <c r="EC289" s="91"/>
      <c r="ED289" s="91"/>
      <c r="EE289" s="91"/>
      <c r="EF289" s="91"/>
      <c r="EG289" s="91"/>
      <c r="EH289" s="91"/>
      <c r="EI289" s="91"/>
      <c r="EJ289" s="91"/>
      <c r="EK289" s="91"/>
      <c r="EL289" s="91"/>
      <c r="EM289" s="91"/>
      <c r="EN289" s="91"/>
      <c r="EO289" s="91"/>
      <c r="EP289" s="91"/>
      <c r="EQ289" s="91"/>
      <c r="ER289" s="91"/>
      <c r="ES289" s="91"/>
      <c r="ET289" s="91"/>
      <c r="EU289" s="91"/>
      <c r="EV289" s="91"/>
      <c r="EW289" s="91"/>
      <c r="EX289" s="91"/>
      <c r="EY289" s="91"/>
      <c r="EZ289" s="91"/>
      <c r="FA289" s="91"/>
      <c r="FB289" s="91"/>
      <c r="FC289" s="91"/>
      <c r="FD289" s="91"/>
      <c r="FE289" s="91"/>
      <c r="FF289" s="91"/>
      <c r="FG289" s="91"/>
      <c r="FH289" s="91"/>
      <c r="FI289" s="91"/>
      <c r="FJ289" s="91"/>
      <c r="FK289" s="91"/>
      <c r="FL289" s="91"/>
      <c r="FM289" s="91"/>
      <c r="FN289" s="91"/>
      <c r="FO289" s="91"/>
      <c r="FP289" s="91"/>
      <c r="FQ289" s="91"/>
      <c r="FR289" s="91"/>
      <c r="FS289" s="91"/>
      <c r="FT289" s="91"/>
      <c r="FU289" s="91"/>
      <c r="FV289" s="91"/>
    </row>
    <row r="290" spans="2:178" s="1" customFormat="1" ht="15.75">
      <c r="B290" s="358"/>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c r="CE290" s="91"/>
      <c r="CF290" s="91"/>
      <c r="CG290" s="91"/>
      <c r="CH290" s="91"/>
      <c r="CI290" s="91"/>
      <c r="CJ290" s="91"/>
      <c r="CK290" s="91"/>
      <c r="CL290" s="91"/>
      <c r="CM290" s="91"/>
      <c r="CN290" s="91"/>
      <c r="CO290" s="91"/>
      <c r="CP290" s="91"/>
      <c r="CQ290" s="91"/>
      <c r="CR290" s="91"/>
      <c r="CS290" s="91"/>
      <c r="CT290" s="91"/>
      <c r="CU290" s="91"/>
      <c r="CV290" s="91"/>
      <c r="CW290" s="91"/>
      <c r="CX290" s="91"/>
      <c r="CY290" s="91"/>
      <c r="CZ290" s="91"/>
      <c r="DA290" s="91"/>
      <c r="DB290" s="91"/>
      <c r="DC290" s="91"/>
      <c r="DD290" s="91"/>
      <c r="DE290" s="91"/>
      <c r="DF290" s="91"/>
      <c r="DG290" s="91"/>
      <c r="DH290" s="91"/>
      <c r="DI290" s="91"/>
      <c r="DJ290" s="91"/>
      <c r="DK290" s="91"/>
      <c r="DL290" s="91"/>
      <c r="DM290" s="91"/>
      <c r="DN290" s="91"/>
      <c r="DO290" s="91"/>
      <c r="DP290" s="91"/>
      <c r="DQ290" s="91"/>
      <c r="DR290" s="91"/>
      <c r="DS290" s="91"/>
      <c r="DT290" s="91"/>
      <c r="DU290" s="91"/>
      <c r="DV290" s="91"/>
      <c r="DW290" s="91"/>
      <c r="DX290" s="91"/>
      <c r="DY290" s="91"/>
      <c r="DZ290" s="91"/>
      <c r="EA290" s="91"/>
      <c r="EB290" s="91"/>
      <c r="EC290" s="91"/>
      <c r="ED290" s="91"/>
      <c r="EE290" s="91"/>
      <c r="EF290" s="91"/>
      <c r="EG290" s="91"/>
      <c r="EH290" s="91"/>
      <c r="EI290" s="91"/>
      <c r="EJ290" s="91"/>
      <c r="EK290" s="91"/>
      <c r="EL290" s="91"/>
      <c r="EM290" s="91"/>
      <c r="EN290" s="91"/>
      <c r="EO290" s="91"/>
      <c r="EP290" s="91"/>
      <c r="EQ290" s="91"/>
      <c r="ER290" s="91"/>
      <c r="ES290" s="91"/>
      <c r="ET290" s="91"/>
      <c r="EU290" s="91"/>
      <c r="EV290" s="91"/>
      <c r="EW290" s="91"/>
      <c r="EX290" s="91"/>
      <c r="EY290" s="91"/>
      <c r="EZ290" s="91"/>
      <c r="FA290" s="91"/>
      <c r="FB290" s="91"/>
      <c r="FC290" s="91"/>
      <c r="FD290" s="91"/>
      <c r="FE290" s="91"/>
      <c r="FF290" s="91"/>
      <c r="FG290" s="91"/>
      <c r="FH290" s="91"/>
      <c r="FI290" s="91"/>
      <c r="FJ290" s="91"/>
      <c r="FK290" s="91"/>
      <c r="FL290" s="91"/>
      <c r="FM290" s="91"/>
      <c r="FN290" s="91"/>
      <c r="FO290" s="91"/>
      <c r="FP290" s="91"/>
      <c r="FQ290" s="91"/>
      <c r="FR290" s="91"/>
      <c r="FS290" s="91"/>
      <c r="FT290" s="91"/>
      <c r="FU290" s="91"/>
      <c r="FV290" s="91"/>
    </row>
    <row r="291" spans="2:178" s="1" customFormat="1" ht="15.75">
      <c r="B291" s="358"/>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91"/>
      <c r="CI291" s="91"/>
      <c r="CJ291" s="91"/>
      <c r="CK291" s="91"/>
      <c r="CL291" s="91"/>
      <c r="CM291" s="91"/>
      <c r="CN291" s="91"/>
      <c r="CO291" s="91"/>
      <c r="CP291" s="91"/>
      <c r="CQ291" s="91"/>
      <c r="CR291" s="91"/>
      <c r="CS291" s="91"/>
      <c r="CT291" s="91"/>
      <c r="CU291" s="91"/>
      <c r="CV291" s="91"/>
      <c r="CW291" s="91"/>
      <c r="CX291" s="91"/>
      <c r="CY291" s="91"/>
      <c r="CZ291" s="91"/>
      <c r="DA291" s="91"/>
      <c r="DB291" s="91"/>
      <c r="DC291" s="91"/>
      <c r="DD291" s="91"/>
      <c r="DE291" s="91"/>
      <c r="DF291" s="91"/>
      <c r="DG291" s="91"/>
      <c r="DH291" s="91"/>
      <c r="DI291" s="91"/>
      <c r="DJ291" s="91"/>
      <c r="DK291" s="91"/>
      <c r="DL291" s="91"/>
      <c r="DM291" s="91"/>
      <c r="DN291" s="91"/>
      <c r="DO291" s="91"/>
      <c r="DP291" s="91"/>
      <c r="DQ291" s="91"/>
      <c r="DR291" s="91"/>
      <c r="DS291" s="91"/>
      <c r="DT291" s="91"/>
      <c r="DU291" s="91"/>
      <c r="DV291" s="91"/>
      <c r="DW291" s="91"/>
      <c r="DX291" s="91"/>
      <c r="DY291" s="91"/>
      <c r="DZ291" s="91"/>
      <c r="EA291" s="91"/>
      <c r="EB291" s="91"/>
      <c r="EC291" s="91"/>
      <c r="ED291" s="91"/>
      <c r="EE291" s="91"/>
      <c r="EF291" s="91"/>
      <c r="EG291" s="91"/>
      <c r="EH291" s="91"/>
      <c r="EI291" s="91"/>
      <c r="EJ291" s="91"/>
      <c r="EK291" s="91"/>
      <c r="EL291" s="91"/>
      <c r="EM291" s="91"/>
      <c r="EN291" s="91"/>
      <c r="EO291" s="91"/>
      <c r="EP291" s="91"/>
      <c r="EQ291" s="91"/>
      <c r="ER291" s="91"/>
      <c r="ES291" s="91"/>
      <c r="ET291" s="91"/>
      <c r="EU291" s="91"/>
      <c r="EV291" s="91"/>
      <c r="EW291" s="91"/>
      <c r="EX291" s="91"/>
      <c r="EY291" s="91"/>
      <c r="EZ291" s="91"/>
      <c r="FA291" s="91"/>
      <c r="FB291" s="91"/>
      <c r="FC291" s="91"/>
      <c r="FD291" s="91"/>
      <c r="FE291" s="91"/>
      <c r="FF291" s="91"/>
      <c r="FG291" s="91"/>
      <c r="FH291" s="91"/>
      <c r="FI291" s="91"/>
      <c r="FJ291" s="91"/>
      <c r="FK291" s="91"/>
      <c r="FL291" s="91"/>
      <c r="FM291" s="91"/>
      <c r="FN291" s="91"/>
      <c r="FO291" s="91"/>
      <c r="FP291" s="91"/>
      <c r="FQ291" s="91"/>
      <c r="FR291" s="91"/>
      <c r="FS291" s="91"/>
      <c r="FT291" s="91"/>
      <c r="FU291" s="91"/>
      <c r="FV291" s="91"/>
    </row>
    <row r="292" spans="2:178" s="1" customFormat="1" ht="15.75">
      <c r="B292" s="358"/>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c r="BW292" s="91"/>
      <c r="BX292" s="91"/>
      <c r="BY292" s="91"/>
      <c r="BZ292" s="91"/>
      <c r="CA292" s="91"/>
      <c r="CB292" s="91"/>
      <c r="CC292" s="91"/>
      <c r="CD292" s="91"/>
      <c r="CE292" s="91"/>
      <c r="CF292" s="91"/>
      <c r="CG292" s="91"/>
      <c r="CH292" s="91"/>
      <c r="CI292" s="91"/>
      <c r="CJ292" s="91"/>
      <c r="CK292" s="91"/>
      <c r="CL292" s="91"/>
      <c r="CM292" s="91"/>
      <c r="CN292" s="91"/>
      <c r="CO292" s="91"/>
      <c r="CP292" s="91"/>
      <c r="CQ292" s="91"/>
      <c r="CR292" s="91"/>
      <c r="CS292" s="91"/>
      <c r="CT292" s="91"/>
      <c r="CU292" s="91"/>
      <c r="CV292" s="91"/>
      <c r="CW292" s="91"/>
      <c r="CX292" s="91"/>
      <c r="CY292" s="91"/>
      <c r="CZ292" s="91"/>
      <c r="DA292" s="91"/>
      <c r="DB292" s="91"/>
      <c r="DC292" s="91"/>
      <c r="DD292" s="91"/>
      <c r="DE292" s="91"/>
      <c r="DF292" s="91"/>
      <c r="DG292" s="91"/>
      <c r="DH292" s="91"/>
      <c r="DI292" s="91"/>
      <c r="DJ292" s="91"/>
      <c r="DK292" s="91"/>
      <c r="DL292" s="91"/>
      <c r="DM292" s="91"/>
      <c r="DN292" s="91"/>
      <c r="DO292" s="91"/>
      <c r="DP292" s="91"/>
      <c r="DQ292" s="91"/>
      <c r="DR292" s="91"/>
      <c r="DS292" s="91"/>
      <c r="DT292" s="91"/>
      <c r="DU292" s="91"/>
      <c r="DV292" s="91"/>
      <c r="DW292" s="91"/>
      <c r="DX292" s="91"/>
      <c r="DY292" s="91"/>
      <c r="DZ292" s="91"/>
      <c r="EA292" s="91"/>
      <c r="EB292" s="91"/>
      <c r="EC292" s="91"/>
      <c r="ED292" s="91"/>
      <c r="EE292" s="91"/>
      <c r="EF292" s="91"/>
      <c r="EG292" s="91"/>
      <c r="EH292" s="91"/>
      <c r="EI292" s="91"/>
      <c r="EJ292" s="91"/>
      <c r="EK292" s="91"/>
      <c r="EL292" s="91"/>
      <c r="EM292" s="91"/>
      <c r="EN292" s="91"/>
      <c r="EO292" s="91"/>
      <c r="EP292" s="91"/>
      <c r="EQ292" s="91"/>
      <c r="ER292" s="91"/>
      <c r="ES292" s="91"/>
      <c r="ET292" s="91"/>
      <c r="EU292" s="91"/>
      <c r="EV292" s="91"/>
      <c r="EW292" s="91"/>
      <c r="EX292" s="91"/>
      <c r="EY292" s="91"/>
      <c r="EZ292" s="91"/>
      <c r="FA292" s="91"/>
      <c r="FB292" s="91"/>
      <c r="FC292" s="91"/>
      <c r="FD292" s="91"/>
      <c r="FE292" s="91"/>
      <c r="FF292" s="91"/>
      <c r="FG292" s="91"/>
      <c r="FH292" s="91"/>
      <c r="FI292" s="91"/>
      <c r="FJ292" s="91"/>
      <c r="FK292" s="91"/>
      <c r="FL292" s="91"/>
      <c r="FM292" s="91"/>
      <c r="FN292" s="91"/>
      <c r="FO292" s="91"/>
      <c r="FP292" s="91"/>
      <c r="FQ292" s="91"/>
      <c r="FR292" s="91"/>
      <c r="FS292" s="91"/>
      <c r="FT292" s="91"/>
      <c r="FU292" s="91"/>
      <c r="FV292" s="91"/>
    </row>
    <row r="293" spans="2:178" s="1" customFormat="1" ht="15.75">
      <c r="B293" s="358"/>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91"/>
      <c r="CI293" s="91"/>
      <c r="CJ293" s="91"/>
      <c r="CK293" s="91"/>
      <c r="CL293" s="91"/>
      <c r="CM293" s="91"/>
      <c r="CN293" s="91"/>
      <c r="CO293" s="91"/>
      <c r="CP293" s="91"/>
      <c r="CQ293" s="91"/>
      <c r="CR293" s="91"/>
      <c r="CS293" s="91"/>
      <c r="CT293" s="91"/>
      <c r="CU293" s="91"/>
      <c r="CV293" s="91"/>
      <c r="CW293" s="91"/>
      <c r="CX293" s="91"/>
      <c r="CY293" s="91"/>
      <c r="CZ293" s="91"/>
      <c r="DA293" s="91"/>
      <c r="DB293" s="91"/>
      <c r="DC293" s="91"/>
      <c r="DD293" s="91"/>
      <c r="DE293" s="91"/>
      <c r="DF293" s="91"/>
      <c r="DG293" s="91"/>
      <c r="DH293" s="91"/>
      <c r="DI293" s="91"/>
      <c r="DJ293" s="91"/>
      <c r="DK293" s="91"/>
      <c r="DL293" s="91"/>
      <c r="DM293" s="91"/>
      <c r="DN293" s="91"/>
      <c r="DO293" s="91"/>
      <c r="DP293" s="91"/>
      <c r="DQ293" s="91"/>
      <c r="DR293" s="91"/>
      <c r="DS293" s="91"/>
      <c r="DT293" s="91"/>
      <c r="DU293" s="91"/>
      <c r="DV293" s="91"/>
      <c r="DW293" s="91"/>
      <c r="DX293" s="91"/>
      <c r="DY293" s="91"/>
      <c r="DZ293" s="91"/>
      <c r="EA293" s="91"/>
      <c r="EB293" s="91"/>
      <c r="EC293" s="91"/>
      <c r="ED293" s="91"/>
      <c r="EE293" s="91"/>
      <c r="EF293" s="91"/>
      <c r="EG293" s="91"/>
      <c r="EH293" s="91"/>
      <c r="EI293" s="91"/>
      <c r="EJ293" s="91"/>
      <c r="EK293" s="91"/>
      <c r="EL293" s="91"/>
      <c r="EM293" s="91"/>
      <c r="EN293" s="91"/>
      <c r="EO293" s="91"/>
      <c r="EP293" s="91"/>
      <c r="EQ293" s="91"/>
      <c r="ER293" s="91"/>
      <c r="ES293" s="91"/>
      <c r="ET293" s="91"/>
      <c r="EU293" s="91"/>
      <c r="EV293" s="91"/>
      <c r="EW293" s="91"/>
      <c r="EX293" s="91"/>
      <c r="EY293" s="91"/>
      <c r="EZ293" s="91"/>
      <c r="FA293" s="91"/>
      <c r="FB293" s="91"/>
      <c r="FC293" s="91"/>
      <c r="FD293" s="91"/>
      <c r="FE293" s="91"/>
      <c r="FF293" s="91"/>
      <c r="FG293" s="91"/>
      <c r="FH293" s="91"/>
      <c r="FI293" s="91"/>
      <c r="FJ293" s="91"/>
      <c r="FK293" s="91"/>
      <c r="FL293" s="91"/>
      <c r="FM293" s="91"/>
      <c r="FN293" s="91"/>
      <c r="FO293" s="91"/>
      <c r="FP293" s="91"/>
      <c r="FQ293" s="91"/>
      <c r="FR293" s="91"/>
      <c r="FS293" s="91"/>
      <c r="FT293" s="91"/>
      <c r="FU293" s="91"/>
      <c r="FV293" s="91"/>
    </row>
    <row r="294" spans="2:178" s="1" customFormat="1" ht="15.75">
      <c r="B294" s="358"/>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91"/>
      <c r="CI294" s="91"/>
      <c r="CJ294" s="91"/>
      <c r="CK294" s="91"/>
      <c r="CL294" s="91"/>
      <c r="CM294" s="91"/>
      <c r="CN294" s="91"/>
      <c r="CO294" s="91"/>
      <c r="CP294" s="91"/>
      <c r="CQ294" s="91"/>
      <c r="CR294" s="91"/>
      <c r="CS294" s="91"/>
      <c r="CT294" s="91"/>
      <c r="CU294" s="91"/>
      <c r="CV294" s="91"/>
      <c r="CW294" s="91"/>
      <c r="CX294" s="91"/>
      <c r="CY294" s="91"/>
      <c r="CZ294" s="91"/>
      <c r="DA294" s="91"/>
      <c r="DB294" s="91"/>
      <c r="DC294" s="91"/>
      <c r="DD294" s="91"/>
      <c r="DE294" s="91"/>
      <c r="DF294" s="91"/>
      <c r="DG294" s="91"/>
      <c r="DH294" s="91"/>
      <c r="DI294" s="91"/>
      <c r="DJ294" s="91"/>
      <c r="DK294" s="91"/>
      <c r="DL294" s="91"/>
      <c r="DM294" s="91"/>
      <c r="DN294" s="91"/>
      <c r="DO294" s="91"/>
      <c r="DP294" s="91"/>
      <c r="DQ294" s="91"/>
      <c r="DR294" s="91"/>
      <c r="DS294" s="91"/>
      <c r="DT294" s="91"/>
      <c r="DU294" s="91"/>
      <c r="DV294" s="91"/>
      <c r="DW294" s="91"/>
      <c r="DX294" s="91"/>
      <c r="DY294" s="91"/>
      <c r="DZ294" s="91"/>
      <c r="EA294" s="91"/>
      <c r="EB294" s="91"/>
      <c r="EC294" s="91"/>
      <c r="ED294" s="91"/>
      <c r="EE294" s="91"/>
      <c r="EF294" s="91"/>
      <c r="EG294" s="91"/>
      <c r="EH294" s="91"/>
      <c r="EI294" s="91"/>
      <c r="EJ294" s="91"/>
      <c r="EK294" s="91"/>
      <c r="EL294" s="91"/>
      <c r="EM294" s="91"/>
      <c r="EN294" s="91"/>
      <c r="EO294" s="91"/>
      <c r="EP294" s="91"/>
      <c r="EQ294" s="91"/>
      <c r="ER294" s="91"/>
      <c r="ES294" s="91"/>
      <c r="ET294" s="91"/>
      <c r="EU294" s="91"/>
      <c r="EV294" s="91"/>
      <c r="EW294" s="91"/>
      <c r="EX294" s="91"/>
      <c r="EY294" s="91"/>
      <c r="EZ294" s="91"/>
      <c r="FA294" s="91"/>
      <c r="FB294" s="91"/>
      <c r="FC294" s="91"/>
      <c r="FD294" s="91"/>
      <c r="FE294" s="91"/>
      <c r="FF294" s="91"/>
      <c r="FG294" s="91"/>
      <c r="FH294" s="91"/>
      <c r="FI294" s="91"/>
      <c r="FJ294" s="91"/>
      <c r="FK294" s="91"/>
      <c r="FL294" s="91"/>
      <c r="FM294" s="91"/>
      <c r="FN294" s="91"/>
      <c r="FO294" s="91"/>
      <c r="FP294" s="91"/>
      <c r="FQ294" s="91"/>
      <c r="FR294" s="91"/>
      <c r="FS294" s="91"/>
      <c r="FT294" s="91"/>
      <c r="FU294" s="91"/>
      <c r="FV294" s="91"/>
    </row>
    <row r="295" spans="2:178" s="1" customFormat="1" ht="15.75">
      <c r="B295" s="358"/>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c r="BW295" s="91"/>
      <c r="BX295" s="91"/>
      <c r="BY295" s="91"/>
      <c r="BZ295" s="91"/>
      <c r="CA295" s="91"/>
      <c r="CB295" s="91"/>
      <c r="CC295" s="91"/>
      <c r="CD295" s="91"/>
      <c r="CE295" s="91"/>
      <c r="CF295" s="91"/>
      <c r="CG295" s="91"/>
      <c r="CH295" s="91"/>
      <c r="CI295" s="91"/>
      <c r="CJ295" s="91"/>
      <c r="CK295" s="91"/>
      <c r="CL295" s="91"/>
      <c r="CM295" s="91"/>
      <c r="CN295" s="91"/>
      <c r="CO295" s="91"/>
      <c r="CP295" s="91"/>
      <c r="CQ295" s="91"/>
      <c r="CR295" s="91"/>
      <c r="CS295" s="91"/>
      <c r="CT295" s="91"/>
      <c r="CU295" s="91"/>
      <c r="CV295" s="91"/>
      <c r="CW295" s="91"/>
      <c r="CX295" s="91"/>
      <c r="CY295" s="91"/>
      <c r="CZ295" s="91"/>
      <c r="DA295" s="91"/>
      <c r="DB295" s="91"/>
      <c r="DC295" s="91"/>
      <c r="DD295" s="91"/>
      <c r="DE295" s="91"/>
      <c r="DF295" s="91"/>
      <c r="DG295" s="91"/>
      <c r="DH295" s="91"/>
      <c r="DI295" s="91"/>
      <c r="DJ295" s="91"/>
      <c r="DK295" s="91"/>
      <c r="DL295" s="91"/>
      <c r="DM295" s="91"/>
      <c r="DN295" s="91"/>
      <c r="DO295" s="91"/>
      <c r="DP295" s="91"/>
      <c r="DQ295" s="91"/>
      <c r="DR295" s="91"/>
      <c r="DS295" s="91"/>
      <c r="DT295" s="91"/>
      <c r="DU295" s="91"/>
      <c r="DV295" s="91"/>
      <c r="DW295" s="91"/>
      <c r="DX295" s="91"/>
      <c r="DY295" s="91"/>
      <c r="DZ295" s="91"/>
      <c r="EA295" s="91"/>
      <c r="EB295" s="91"/>
      <c r="EC295" s="91"/>
      <c r="ED295" s="91"/>
      <c r="EE295" s="91"/>
      <c r="EF295" s="91"/>
      <c r="EG295" s="91"/>
      <c r="EH295" s="91"/>
      <c r="EI295" s="91"/>
      <c r="EJ295" s="91"/>
      <c r="EK295" s="91"/>
      <c r="EL295" s="91"/>
      <c r="EM295" s="91"/>
      <c r="EN295" s="91"/>
      <c r="EO295" s="91"/>
      <c r="EP295" s="91"/>
      <c r="EQ295" s="91"/>
      <c r="ER295" s="91"/>
      <c r="ES295" s="91"/>
      <c r="ET295" s="91"/>
      <c r="EU295" s="91"/>
      <c r="EV295" s="91"/>
      <c r="EW295" s="91"/>
      <c r="EX295" s="91"/>
      <c r="EY295" s="91"/>
      <c r="EZ295" s="91"/>
      <c r="FA295" s="91"/>
      <c r="FB295" s="91"/>
      <c r="FC295" s="91"/>
      <c r="FD295" s="91"/>
      <c r="FE295" s="91"/>
      <c r="FF295" s="91"/>
      <c r="FG295" s="91"/>
      <c r="FH295" s="91"/>
      <c r="FI295" s="91"/>
      <c r="FJ295" s="91"/>
      <c r="FK295" s="91"/>
      <c r="FL295" s="91"/>
      <c r="FM295" s="91"/>
      <c r="FN295" s="91"/>
      <c r="FO295" s="91"/>
      <c r="FP295" s="91"/>
      <c r="FQ295" s="91"/>
      <c r="FR295" s="91"/>
      <c r="FS295" s="91"/>
      <c r="FT295" s="91"/>
      <c r="FU295" s="91"/>
      <c r="FV295" s="91"/>
    </row>
    <row r="296" spans="2:178" s="1" customFormat="1" ht="15.75">
      <c r="B296" s="358"/>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91"/>
      <c r="CI296" s="91"/>
      <c r="CJ296" s="91"/>
      <c r="CK296" s="91"/>
      <c r="CL296" s="91"/>
      <c r="CM296" s="91"/>
      <c r="CN296" s="91"/>
      <c r="CO296" s="91"/>
      <c r="CP296" s="91"/>
      <c r="CQ296" s="91"/>
      <c r="CR296" s="91"/>
      <c r="CS296" s="91"/>
      <c r="CT296" s="91"/>
      <c r="CU296" s="91"/>
      <c r="CV296" s="91"/>
      <c r="CW296" s="91"/>
      <c r="CX296" s="91"/>
      <c r="CY296" s="91"/>
      <c r="CZ296" s="91"/>
      <c r="DA296" s="91"/>
      <c r="DB296" s="91"/>
      <c r="DC296" s="91"/>
      <c r="DD296" s="91"/>
      <c r="DE296" s="91"/>
      <c r="DF296" s="91"/>
      <c r="DG296" s="91"/>
      <c r="DH296" s="91"/>
      <c r="DI296" s="91"/>
      <c r="DJ296" s="91"/>
      <c r="DK296" s="91"/>
      <c r="DL296" s="91"/>
      <c r="DM296" s="91"/>
      <c r="DN296" s="91"/>
      <c r="DO296" s="91"/>
      <c r="DP296" s="91"/>
      <c r="DQ296" s="91"/>
      <c r="DR296" s="91"/>
      <c r="DS296" s="91"/>
      <c r="DT296" s="91"/>
      <c r="DU296" s="91"/>
      <c r="DV296" s="91"/>
      <c r="DW296" s="91"/>
      <c r="DX296" s="91"/>
      <c r="DY296" s="91"/>
      <c r="DZ296" s="91"/>
      <c r="EA296" s="91"/>
      <c r="EB296" s="91"/>
      <c r="EC296" s="91"/>
      <c r="ED296" s="91"/>
      <c r="EE296" s="91"/>
      <c r="EF296" s="91"/>
      <c r="EG296" s="91"/>
      <c r="EH296" s="91"/>
      <c r="EI296" s="91"/>
      <c r="EJ296" s="91"/>
      <c r="EK296" s="91"/>
      <c r="EL296" s="91"/>
      <c r="EM296" s="91"/>
      <c r="EN296" s="91"/>
      <c r="EO296" s="91"/>
      <c r="EP296" s="91"/>
      <c r="EQ296" s="91"/>
      <c r="ER296" s="91"/>
      <c r="ES296" s="91"/>
      <c r="ET296" s="91"/>
      <c r="EU296" s="91"/>
      <c r="EV296" s="91"/>
      <c r="EW296" s="91"/>
      <c r="EX296" s="91"/>
      <c r="EY296" s="91"/>
      <c r="EZ296" s="91"/>
      <c r="FA296" s="91"/>
      <c r="FB296" s="91"/>
      <c r="FC296" s="91"/>
      <c r="FD296" s="91"/>
      <c r="FE296" s="91"/>
      <c r="FF296" s="91"/>
      <c r="FG296" s="91"/>
      <c r="FH296" s="91"/>
      <c r="FI296" s="91"/>
      <c r="FJ296" s="91"/>
      <c r="FK296" s="91"/>
      <c r="FL296" s="91"/>
      <c r="FM296" s="91"/>
      <c r="FN296" s="91"/>
      <c r="FO296" s="91"/>
      <c r="FP296" s="91"/>
      <c r="FQ296" s="91"/>
      <c r="FR296" s="91"/>
      <c r="FS296" s="91"/>
      <c r="FT296" s="91"/>
      <c r="FU296" s="91"/>
      <c r="FV296" s="91"/>
    </row>
    <row r="297" spans="2:178" s="1" customFormat="1" ht="15.75">
      <c r="B297" s="358"/>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91"/>
      <c r="CI297" s="91"/>
      <c r="CJ297" s="91"/>
      <c r="CK297" s="91"/>
      <c r="CL297" s="91"/>
      <c r="CM297" s="91"/>
      <c r="CN297" s="91"/>
      <c r="CO297" s="91"/>
      <c r="CP297" s="91"/>
      <c r="CQ297" s="91"/>
      <c r="CR297" s="91"/>
      <c r="CS297" s="91"/>
      <c r="CT297" s="91"/>
      <c r="CU297" s="91"/>
      <c r="CV297" s="91"/>
      <c r="CW297" s="91"/>
      <c r="CX297" s="91"/>
      <c r="CY297" s="91"/>
      <c r="CZ297" s="91"/>
      <c r="DA297" s="91"/>
      <c r="DB297" s="91"/>
      <c r="DC297" s="91"/>
      <c r="DD297" s="91"/>
      <c r="DE297" s="91"/>
      <c r="DF297" s="91"/>
      <c r="DG297" s="91"/>
      <c r="DH297" s="91"/>
      <c r="DI297" s="91"/>
      <c r="DJ297" s="91"/>
      <c r="DK297" s="91"/>
      <c r="DL297" s="91"/>
      <c r="DM297" s="91"/>
      <c r="DN297" s="91"/>
      <c r="DO297" s="91"/>
      <c r="DP297" s="91"/>
      <c r="DQ297" s="91"/>
      <c r="DR297" s="91"/>
      <c r="DS297" s="91"/>
      <c r="DT297" s="91"/>
      <c r="DU297" s="91"/>
      <c r="DV297" s="91"/>
      <c r="DW297" s="91"/>
      <c r="DX297" s="91"/>
      <c r="DY297" s="91"/>
      <c r="DZ297" s="91"/>
      <c r="EA297" s="91"/>
      <c r="EB297" s="91"/>
      <c r="EC297" s="91"/>
      <c r="ED297" s="91"/>
      <c r="EE297" s="91"/>
      <c r="EF297" s="91"/>
      <c r="EG297" s="91"/>
      <c r="EH297" s="91"/>
      <c r="EI297" s="91"/>
      <c r="EJ297" s="91"/>
      <c r="EK297" s="91"/>
      <c r="EL297" s="91"/>
      <c r="EM297" s="91"/>
      <c r="EN297" s="91"/>
      <c r="EO297" s="91"/>
      <c r="EP297" s="91"/>
      <c r="EQ297" s="91"/>
      <c r="ER297" s="91"/>
      <c r="ES297" s="91"/>
      <c r="ET297" s="91"/>
      <c r="EU297" s="91"/>
      <c r="EV297" s="91"/>
      <c r="EW297" s="91"/>
      <c r="EX297" s="91"/>
      <c r="EY297" s="91"/>
      <c r="EZ297" s="91"/>
      <c r="FA297" s="91"/>
      <c r="FB297" s="91"/>
      <c r="FC297" s="91"/>
      <c r="FD297" s="91"/>
      <c r="FE297" s="91"/>
      <c r="FF297" s="91"/>
      <c r="FG297" s="91"/>
      <c r="FH297" s="91"/>
      <c r="FI297" s="91"/>
      <c r="FJ297" s="91"/>
      <c r="FK297" s="91"/>
      <c r="FL297" s="91"/>
      <c r="FM297" s="91"/>
      <c r="FN297" s="91"/>
      <c r="FO297" s="91"/>
      <c r="FP297" s="91"/>
      <c r="FQ297" s="91"/>
      <c r="FR297" s="91"/>
      <c r="FS297" s="91"/>
      <c r="FT297" s="91"/>
      <c r="FU297" s="91"/>
      <c r="FV297" s="91"/>
    </row>
    <row r="298" spans="2:178" s="1" customFormat="1" ht="15.75">
      <c r="B298" s="358"/>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c r="BZ298" s="91"/>
      <c r="CA298" s="91"/>
      <c r="CB298" s="91"/>
      <c r="CC298" s="91"/>
      <c r="CD298" s="91"/>
      <c r="CE298" s="91"/>
      <c r="CF298" s="91"/>
      <c r="CG298" s="91"/>
      <c r="CH298" s="91"/>
      <c r="CI298" s="91"/>
      <c r="CJ298" s="91"/>
      <c r="CK298" s="91"/>
      <c r="CL298" s="91"/>
      <c r="CM298" s="91"/>
      <c r="CN298" s="91"/>
      <c r="CO298" s="91"/>
      <c r="CP298" s="91"/>
      <c r="CQ298" s="91"/>
      <c r="CR298" s="91"/>
      <c r="CS298" s="91"/>
      <c r="CT298" s="91"/>
      <c r="CU298" s="91"/>
      <c r="CV298" s="91"/>
      <c r="CW298" s="91"/>
      <c r="CX298" s="91"/>
      <c r="CY298" s="91"/>
      <c r="CZ298" s="91"/>
      <c r="DA298" s="91"/>
      <c r="DB298" s="91"/>
      <c r="DC298" s="91"/>
      <c r="DD298" s="91"/>
      <c r="DE298" s="91"/>
      <c r="DF298" s="91"/>
      <c r="DG298" s="91"/>
      <c r="DH298" s="91"/>
      <c r="DI298" s="91"/>
      <c r="DJ298" s="91"/>
      <c r="DK298" s="91"/>
      <c r="DL298" s="91"/>
      <c r="DM298" s="91"/>
      <c r="DN298" s="91"/>
      <c r="DO298" s="91"/>
      <c r="DP298" s="91"/>
      <c r="DQ298" s="91"/>
      <c r="DR298" s="91"/>
      <c r="DS298" s="91"/>
      <c r="DT298" s="91"/>
      <c r="DU298" s="91"/>
      <c r="DV298" s="91"/>
      <c r="DW298" s="91"/>
      <c r="DX298" s="91"/>
      <c r="DY298" s="91"/>
      <c r="DZ298" s="91"/>
      <c r="EA298" s="91"/>
      <c r="EB298" s="91"/>
      <c r="EC298" s="91"/>
      <c r="ED298" s="91"/>
      <c r="EE298" s="91"/>
      <c r="EF298" s="91"/>
      <c r="EG298" s="91"/>
      <c r="EH298" s="91"/>
      <c r="EI298" s="91"/>
      <c r="EJ298" s="91"/>
      <c r="EK298" s="91"/>
      <c r="EL298" s="91"/>
      <c r="EM298" s="91"/>
      <c r="EN298" s="91"/>
      <c r="EO298" s="91"/>
      <c r="EP298" s="91"/>
      <c r="EQ298" s="91"/>
      <c r="ER298" s="91"/>
      <c r="ES298" s="91"/>
      <c r="ET298" s="91"/>
      <c r="EU298" s="91"/>
      <c r="EV298" s="91"/>
      <c r="EW298" s="91"/>
      <c r="EX298" s="91"/>
      <c r="EY298" s="91"/>
      <c r="EZ298" s="91"/>
      <c r="FA298" s="91"/>
      <c r="FB298" s="91"/>
      <c r="FC298" s="91"/>
      <c r="FD298" s="91"/>
      <c r="FE298" s="91"/>
      <c r="FF298" s="91"/>
      <c r="FG298" s="91"/>
      <c r="FH298" s="91"/>
      <c r="FI298" s="91"/>
      <c r="FJ298" s="91"/>
      <c r="FK298" s="91"/>
      <c r="FL298" s="91"/>
      <c r="FM298" s="91"/>
      <c r="FN298" s="91"/>
      <c r="FO298" s="91"/>
      <c r="FP298" s="91"/>
      <c r="FQ298" s="91"/>
      <c r="FR298" s="91"/>
      <c r="FS298" s="91"/>
      <c r="FT298" s="91"/>
      <c r="FU298" s="91"/>
      <c r="FV298" s="91"/>
    </row>
    <row r="299" spans="2:178" s="1" customFormat="1" ht="15.75">
      <c r="B299" s="358"/>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c r="BW299" s="91"/>
      <c r="BX299" s="91"/>
      <c r="BY299" s="91"/>
      <c r="BZ299" s="91"/>
      <c r="CA299" s="91"/>
      <c r="CB299" s="91"/>
      <c r="CC299" s="91"/>
      <c r="CD299" s="91"/>
      <c r="CE299" s="91"/>
      <c r="CF299" s="91"/>
      <c r="CG299" s="91"/>
      <c r="CH299" s="91"/>
      <c r="CI299" s="91"/>
      <c r="CJ299" s="91"/>
      <c r="CK299" s="91"/>
      <c r="CL299" s="91"/>
      <c r="CM299" s="91"/>
      <c r="CN299" s="91"/>
      <c r="CO299" s="91"/>
      <c r="CP299" s="91"/>
      <c r="CQ299" s="91"/>
      <c r="CR299" s="91"/>
      <c r="CS299" s="91"/>
      <c r="CT299" s="91"/>
      <c r="CU299" s="91"/>
      <c r="CV299" s="91"/>
      <c r="CW299" s="91"/>
      <c r="CX299" s="91"/>
      <c r="CY299" s="91"/>
      <c r="CZ299" s="91"/>
      <c r="DA299" s="91"/>
      <c r="DB299" s="91"/>
      <c r="DC299" s="91"/>
      <c r="DD299" s="91"/>
      <c r="DE299" s="91"/>
      <c r="DF299" s="91"/>
      <c r="DG299" s="91"/>
      <c r="DH299" s="91"/>
      <c r="DI299" s="91"/>
      <c r="DJ299" s="91"/>
      <c r="DK299" s="91"/>
      <c r="DL299" s="91"/>
      <c r="DM299" s="91"/>
      <c r="DN299" s="91"/>
      <c r="DO299" s="91"/>
      <c r="DP299" s="91"/>
      <c r="DQ299" s="91"/>
      <c r="DR299" s="91"/>
      <c r="DS299" s="91"/>
      <c r="DT299" s="91"/>
      <c r="DU299" s="91"/>
      <c r="DV299" s="91"/>
      <c r="DW299" s="91"/>
      <c r="DX299" s="91"/>
      <c r="DY299" s="91"/>
      <c r="DZ299" s="91"/>
      <c r="EA299" s="91"/>
      <c r="EB299" s="91"/>
      <c r="EC299" s="91"/>
      <c r="ED299" s="91"/>
      <c r="EE299" s="91"/>
      <c r="EF299" s="91"/>
      <c r="EG299" s="91"/>
      <c r="EH299" s="91"/>
      <c r="EI299" s="91"/>
      <c r="EJ299" s="91"/>
      <c r="EK299" s="91"/>
      <c r="EL299" s="91"/>
      <c r="EM299" s="91"/>
      <c r="EN299" s="91"/>
      <c r="EO299" s="91"/>
      <c r="EP299" s="91"/>
      <c r="EQ299" s="91"/>
      <c r="ER299" s="91"/>
      <c r="ES299" s="91"/>
      <c r="ET299" s="91"/>
      <c r="EU299" s="91"/>
      <c r="EV299" s="91"/>
      <c r="EW299" s="91"/>
      <c r="EX299" s="91"/>
      <c r="EY299" s="91"/>
      <c r="EZ299" s="91"/>
      <c r="FA299" s="91"/>
      <c r="FB299" s="91"/>
      <c r="FC299" s="91"/>
      <c r="FD299" s="91"/>
      <c r="FE299" s="91"/>
      <c r="FF299" s="91"/>
      <c r="FG299" s="91"/>
      <c r="FH299" s="91"/>
      <c r="FI299" s="91"/>
      <c r="FJ299" s="91"/>
      <c r="FK299" s="91"/>
      <c r="FL299" s="91"/>
      <c r="FM299" s="91"/>
      <c r="FN299" s="91"/>
      <c r="FO299" s="91"/>
      <c r="FP299" s="91"/>
      <c r="FQ299" s="91"/>
      <c r="FR299" s="91"/>
      <c r="FS299" s="91"/>
      <c r="FT299" s="91"/>
      <c r="FU299" s="91"/>
      <c r="FV299" s="91"/>
    </row>
    <row r="300" spans="2:178" s="1" customFormat="1" ht="15.75">
      <c r="B300" s="358"/>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91"/>
      <c r="CI300" s="91"/>
      <c r="CJ300" s="91"/>
      <c r="CK300" s="91"/>
      <c r="CL300" s="91"/>
      <c r="CM300" s="91"/>
      <c r="CN300" s="91"/>
      <c r="CO300" s="91"/>
      <c r="CP300" s="91"/>
      <c r="CQ300" s="91"/>
      <c r="CR300" s="91"/>
      <c r="CS300" s="91"/>
      <c r="CT300" s="91"/>
      <c r="CU300" s="91"/>
      <c r="CV300" s="91"/>
      <c r="CW300" s="91"/>
      <c r="CX300" s="91"/>
      <c r="CY300" s="91"/>
      <c r="CZ300" s="91"/>
      <c r="DA300" s="91"/>
      <c r="DB300" s="91"/>
      <c r="DC300" s="91"/>
      <c r="DD300" s="91"/>
      <c r="DE300" s="91"/>
      <c r="DF300" s="91"/>
      <c r="DG300" s="91"/>
      <c r="DH300" s="91"/>
      <c r="DI300" s="91"/>
      <c r="DJ300" s="91"/>
      <c r="DK300" s="91"/>
      <c r="DL300" s="91"/>
      <c r="DM300" s="91"/>
      <c r="DN300" s="91"/>
      <c r="DO300" s="91"/>
      <c r="DP300" s="91"/>
      <c r="DQ300" s="91"/>
      <c r="DR300" s="91"/>
      <c r="DS300" s="91"/>
      <c r="DT300" s="91"/>
      <c r="DU300" s="91"/>
      <c r="DV300" s="91"/>
      <c r="DW300" s="91"/>
      <c r="DX300" s="91"/>
      <c r="DY300" s="91"/>
      <c r="DZ300" s="91"/>
      <c r="EA300" s="91"/>
      <c r="EB300" s="91"/>
      <c r="EC300" s="91"/>
      <c r="ED300" s="91"/>
      <c r="EE300" s="91"/>
      <c r="EF300" s="91"/>
      <c r="EG300" s="91"/>
      <c r="EH300" s="91"/>
      <c r="EI300" s="91"/>
      <c r="EJ300" s="91"/>
      <c r="EK300" s="91"/>
      <c r="EL300" s="91"/>
      <c r="EM300" s="91"/>
      <c r="EN300" s="91"/>
      <c r="EO300" s="91"/>
      <c r="EP300" s="91"/>
      <c r="EQ300" s="91"/>
      <c r="ER300" s="91"/>
      <c r="ES300" s="91"/>
      <c r="ET300" s="91"/>
      <c r="EU300" s="91"/>
      <c r="EV300" s="91"/>
      <c r="EW300" s="91"/>
      <c r="EX300" s="91"/>
      <c r="EY300" s="91"/>
      <c r="EZ300" s="91"/>
      <c r="FA300" s="91"/>
      <c r="FB300" s="91"/>
      <c r="FC300" s="91"/>
      <c r="FD300" s="91"/>
      <c r="FE300" s="91"/>
      <c r="FF300" s="91"/>
      <c r="FG300" s="91"/>
      <c r="FH300" s="91"/>
      <c r="FI300" s="91"/>
      <c r="FJ300" s="91"/>
      <c r="FK300" s="91"/>
      <c r="FL300" s="91"/>
      <c r="FM300" s="91"/>
      <c r="FN300" s="91"/>
      <c r="FO300" s="91"/>
      <c r="FP300" s="91"/>
      <c r="FQ300" s="91"/>
      <c r="FR300" s="91"/>
      <c r="FS300" s="91"/>
      <c r="FT300" s="91"/>
      <c r="FU300" s="91"/>
      <c r="FV300" s="91"/>
    </row>
    <row r="301" spans="2:178" s="1" customFormat="1" ht="15.75">
      <c r="B301" s="358"/>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91"/>
      <c r="CI301" s="91"/>
      <c r="CJ301" s="91"/>
      <c r="CK301" s="91"/>
      <c r="CL301" s="91"/>
      <c r="CM301" s="91"/>
      <c r="CN301" s="91"/>
      <c r="CO301" s="91"/>
      <c r="CP301" s="91"/>
      <c r="CQ301" s="91"/>
      <c r="CR301" s="91"/>
      <c r="CS301" s="91"/>
      <c r="CT301" s="91"/>
      <c r="CU301" s="91"/>
      <c r="CV301" s="91"/>
      <c r="CW301" s="91"/>
      <c r="CX301" s="91"/>
      <c r="CY301" s="91"/>
      <c r="CZ301" s="91"/>
      <c r="DA301" s="91"/>
      <c r="DB301" s="91"/>
      <c r="DC301" s="91"/>
      <c r="DD301" s="91"/>
      <c r="DE301" s="91"/>
      <c r="DF301" s="91"/>
      <c r="DG301" s="91"/>
      <c r="DH301" s="91"/>
      <c r="DI301" s="91"/>
      <c r="DJ301" s="91"/>
      <c r="DK301" s="91"/>
      <c r="DL301" s="91"/>
      <c r="DM301" s="91"/>
      <c r="DN301" s="91"/>
      <c r="DO301" s="91"/>
      <c r="DP301" s="91"/>
      <c r="DQ301" s="91"/>
      <c r="DR301" s="91"/>
      <c r="DS301" s="91"/>
      <c r="DT301" s="91"/>
      <c r="DU301" s="91"/>
      <c r="DV301" s="91"/>
      <c r="DW301" s="91"/>
      <c r="DX301" s="91"/>
      <c r="DY301" s="91"/>
      <c r="DZ301" s="91"/>
      <c r="EA301" s="91"/>
      <c r="EB301" s="91"/>
      <c r="EC301" s="91"/>
      <c r="ED301" s="91"/>
      <c r="EE301" s="91"/>
      <c r="EF301" s="91"/>
      <c r="EG301" s="91"/>
      <c r="EH301" s="91"/>
      <c r="EI301" s="91"/>
      <c r="EJ301" s="91"/>
      <c r="EK301" s="91"/>
      <c r="EL301" s="91"/>
      <c r="EM301" s="91"/>
      <c r="EN301" s="91"/>
      <c r="EO301" s="91"/>
      <c r="EP301" s="91"/>
      <c r="EQ301" s="91"/>
      <c r="ER301" s="91"/>
      <c r="ES301" s="91"/>
      <c r="ET301" s="91"/>
      <c r="EU301" s="91"/>
      <c r="EV301" s="91"/>
      <c r="EW301" s="91"/>
      <c r="EX301" s="91"/>
      <c r="EY301" s="91"/>
      <c r="EZ301" s="91"/>
      <c r="FA301" s="91"/>
      <c r="FB301" s="91"/>
      <c r="FC301" s="91"/>
      <c r="FD301" s="91"/>
      <c r="FE301" s="91"/>
      <c r="FF301" s="91"/>
      <c r="FG301" s="91"/>
      <c r="FH301" s="91"/>
      <c r="FI301" s="91"/>
      <c r="FJ301" s="91"/>
      <c r="FK301" s="91"/>
      <c r="FL301" s="91"/>
      <c r="FM301" s="91"/>
      <c r="FN301" s="91"/>
      <c r="FO301" s="91"/>
      <c r="FP301" s="91"/>
      <c r="FQ301" s="91"/>
      <c r="FR301" s="91"/>
      <c r="FS301" s="91"/>
      <c r="FT301" s="91"/>
      <c r="FU301" s="91"/>
      <c r="FV301" s="91"/>
    </row>
    <row r="302" spans="2:178" s="1" customFormat="1" ht="15.75">
      <c r="B302" s="358"/>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c r="BW302" s="91"/>
      <c r="BX302" s="91"/>
      <c r="BY302" s="91"/>
      <c r="BZ302" s="91"/>
      <c r="CA302" s="91"/>
      <c r="CB302" s="91"/>
      <c r="CC302" s="91"/>
      <c r="CD302" s="91"/>
      <c r="CE302" s="91"/>
      <c r="CF302" s="91"/>
      <c r="CG302" s="91"/>
      <c r="CH302" s="91"/>
      <c r="CI302" s="91"/>
      <c r="CJ302" s="91"/>
      <c r="CK302" s="91"/>
      <c r="CL302" s="91"/>
      <c r="CM302" s="91"/>
      <c r="CN302" s="91"/>
      <c r="CO302" s="91"/>
      <c r="CP302" s="91"/>
      <c r="CQ302" s="91"/>
      <c r="CR302" s="91"/>
      <c r="CS302" s="91"/>
      <c r="CT302" s="91"/>
      <c r="CU302" s="91"/>
      <c r="CV302" s="91"/>
      <c r="CW302" s="91"/>
      <c r="CX302" s="91"/>
      <c r="CY302" s="91"/>
      <c r="CZ302" s="91"/>
      <c r="DA302" s="91"/>
      <c r="DB302" s="91"/>
      <c r="DC302" s="91"/>
      <c r="DD302" s="91"/>
      <c r="DE302" s="91"/>
      <c r="DF302" s="91"/>
      <c r="DG302" s="91"/>
      <c r="DH302" s="91"/>
      <c r="DI302" s="91"/>
      <c r="DJ302" s="91"/>
      <c r="DK302" s="91"/>
      <c r="DL302" s="91"/>
      <c r="DM302" s="91"/>
      <c r="DN302" s="91"/>
      <c r="DO302" s="91"/>
      <c r="DP302" s="91"/>
      <c r="DQ302" s="91"/>
      <c r="DR302" s="91"/>
      <c r="DS302" s="91"/>
      <c r="DT302" s="91"/>
      <c r="DU302" s="91"/>
      <c r="DV302" s="91"/>
      <c r="DW302" s="91"/>
      <c r="DX302" s="91"/>
      <c r="DY302" s="91"/>
      <c r="DZ302" s="91"/>
      <c r="EA302" s="91"/>
      <c r="EB302" s="91"/>
      <c r="EC302" s="91"/>
      <c r="ED302" s="91"/>
      <c r="EE302" s="91"/>
      <c r="EF302" s="91"/>
      <c r="EG302" s="91"/>
      <c r="EH302" s="91"/>
      <c r="EI302" s="91"/>
      <c r="EJ302" s="91"/>
      <c r="EK302" s="91"/>
      <c r="EL302" s="91"/>
      <c r="EM302" s="91"/>
      <c r="EN302" s="91"/>
      <c r="EO302" s="91"/>
      <c r="EP302" s="91"/>
      <c r="EQ302" s="91"/>
      <c r="ER302" s="91"/>
      <c r="ES302" s="91"/>
      <c r="ET302" s="91"/>
      <c r="EU302" s="91"/>
      <c r="EV302" s="91"/>
      <c r="EW302" s="91"/>
      <c r="EX302" s="91"/>
      <c r="EY302" s="91"/>
      <c r="EZ302" s="91"/>
      <c r="FA302" s="91"/>
      <c r="FB302" s="91"/>
      <c r="FC302" s="91"/>
      <c r="FD302" s="91"/>
      <c r="FE302" s="91"/>
      <c r="FF302" s="91"/>
      <c r="FG302" s="91"/>
      <c r="FH302" s="91"/>
      <c r="FI302" s="91"/>
      <c r="FJ302" s="91"/>
      <c r="FK302" s="91"/>
      <c r="FL302" s="91"/>
      <c r="FM302" s="91"/>
      <c r="FN302" s="91"/>
      <c r="FO302" s="91"/>
      <c r="FP302" s="91"/>
      <c r="FQ302" s="91"/>
      <c r="FR302" s="91"/>
      <c r="FS302" s="91"/>
      <c r="FT302" s="91"/>
      <c r="FU302" s="91"/>
      <c r="FV302" s="91"/>
    </row>
    <row r="303" spans="2:178" s="1" customFormat="1" ht="15.75">
      <c r="B303" s="358"/>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91"/>
      <c r="BT303" s="91"/>
      <c r="BU303" s="91"/>
      <c r="BV303" s="91"/>
      <c r="BW303" s="91"/>
      <c r="BX303" s="91"/>
      <c r="BY303" s="91"/>
      <c r="BZ303" s="91"/>
      <c r="CA303" s="91"/>
      <c r="CB303" s="91"/>
      <c r="CC303" s="91"/>
      <c r="CD303" s="91"/>
      <c r="CE303" s="91"/>
      <c r="CF303" s="91"/>
      <c r="CG303" s="91"/>
      <c r="CH303" s="91"/>
      <c r="CI303" s="91"/>
      <c r="CJ303" s="91"/>
      <c r="CK303" s="91"/>
      <c r="CL303" s="91"/>
      <c r="CM303" s="91"/>
      <c r="CN303" s="91"/>
      <c r="CO303" s="91"/>
      <c r="CP303" s="91"/>
      <c r="CQ303" s="91"/>
      <c r="CR303" s="91"/>
      <c r="CS303" s="91"/>
      <c r="CT303" s="91"/>
      <c r="CU303" s="91"/>
      <c r="CV303" s="91"/>
      <c r="CW303" s="91"/>
      <c r="CX303" s="91"/>
      <c r="CY303" s="91"/>
      <c r="CZ303" s="91"/>
      <c r="DA303" s="91"/>
      <c r="DB303" s="91"/>
      <c r="DC303" s="91"/>
      <c r="DD303" s="91"/>
      <c r="DE303" s="91"/>
      <c r="DF303" s="91"/>
      <c r="DG303" s="91"/>
      <c r="DH303" s="91"/>
      <c r="DI303" s="91"/>
      <c r="DJ303" s="91"/>
      <c r="DK303" s="91"/>
      <c r="DL303" s="91"/>
      <c r="DM303" s="91"/>
      <c r="DN303" s="91"/>
      <c r="DO303" s="91"/>
      <c r="DP303" s="91"/>
      <c r="DQ303" s="91"/>
      <c r="DR303" s="91"/>
      <c r="DS303" s="91"/>
      <c r="DT303" s="91"/>
      <c r="DU303" s="91"/>
      <c r="DV303" s="91"/>
      <c r="DW303" s="91"/>
      <c r="DX303" s="91"/>
      <c r="DY303" s="91"/>
      <c r="DZ303" s="91"/>
      <c r="EA303" s="91"/>
      <c r="EB303" s="91"/>
      <c r="EC303" s="91"/>
      <c r="ED303" s="91"/>
      <c r="EE303" s="91"/>
      <c r="EF303" s="91"/>
      <c r="EG303" s="91"/>
      <c r="EH303" s="91"/>
      <c r="EI303" s="91"/>
      <c r="EJ303" s="91"/>
      <c r="EK303" s="91"/>
      <c r="EL303" s="91"/>
      <c r="EM303" s="91"/>
      <c r="EN303" s="91"/>
      <c r="EO303" s="91"/>
      <c r="EP303" s="91"/>
      <c r="EQ303" s="91"/>
      <c r="ER303" s="91"/>
      <c r="ES303" s="91"/>
      <c r="ET303" s="91"/>
      <c r="EU303" s="91"/>
      <c r="EV303" s="91"/>
      <c r="EW303" s="91"/>
      <c r="EX303" s="91"/>
      <c r="EY303" s="91"/>
      <c r="EZ303" s="91"/>
      <c r="FA303" s="91"/>
      <c r="FB303" s="91"/>
      <c r="FC303" s="91"/>
      <c r="FD303" s="91"/>
      <c r="FE303" s="91"/>
      <c r="FF303" s="91"/>
      <c r="FG303" s="91"/>
      <c r="FH303" s="91"/>
      <c r="FI303" s="91"/>
      <c r="FJ303" s="91"/>
      <c r="FK303" s="91"/>
      <c r="FL303" s="91"/>
      <c r="FM303" s="91"/>
      <c r="FN303" s="91"/>
      <c r="FO303" s="91"/>
      <c r="FP303" s="91"/>
      <c r="FQ303" s="91"/>
      <c r="FR303" s="91"/>
      <c r="FS303" s="91"/>
      <c r="FT303" s="91"/>
      <c r="FU303" s="91"/>
      <c r="FV303" s="91"/>
    </row>
    <row r="304" spans="2:178" s="1" customFormat="1" ht="15.75">
      <c r="B304" s="358"/>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91"/>
      <c r="CI304" s="91"/>
      <c r="CJ304" s="91"/>
      <c r="CK304" s="91"/>
      <c r="CL304" s="91"/>
      <c r="CM304" s="91"/>
      <c r="CN304" s="91"/>
      <c r="CO304" s="91"/>
      <c r="CP304" s="91"/>
      <c r="CQ304" s="91"/>
      <c r="CR304" s="91"/>
      <c r="CS304" s="91"/>
      <c r="CT304" s="91"/>
      <c r="CU304" s="91"/>
      <c r="CV304" s="91"/>
      <c r="CW304" s="91"/>
      <c r="CX304" s="91"/>
      <c r="CY304" s="91"/>
      <c r="CZ304" s="91"/>
      <c r="DA304" s="91"/>
      <c r="DB304" s="91"/>
      <c r="DC304" s="91"/>
      <c r="DD304" s="91"/>
      <c r="DE304" s="91"/>
      <c r="DF304" s="91"/>
      <c r="DG304" s="91"/>
      <c r="DH304" s="91"/>
      <c r="DI304" s="91"/>
      <c r="DJ304" s="91"/>
      <c r="DK304" s="91"/>
      <c r="DL304" s="91"/>
      <c r="DM304" s="91"/>
      <c r="DN304" s="91"/>
      <c r="DO304" s="91"/>
      <c r="DP304" s="91"/>
      <c r="DQ304" s="91"/>
      <c r="DR304" s="91"/>
      <c r="DS304" s="91"/>
      <c r="DT304" s="91"/>
      <c r="DU304" s="91"/>
      <c r="DV304" s="91"/>
      <c r="DW304" s="91"/>
      <c r="DX304" s="91"/>
      <c r="DY304" s="91"/>
      <c r="DZ304" s="91"/>
      <c r="EA304" s="91"/>
      <c r="EB304" s="91"/>
      <c r="EC304" s="91"/>
      <c r="ED304" s="91"/>
      <c r="EE304" s="91"/>
      <c r="EF304" s="91"/>
      <c r="EG304" s="91"/>
      <c r="EH304" s="91"/>
      <c r="EI304" s="91"/>
      <c r="EJ304" s="91"/>
      <c r="EK304" s="91"/>
      <c r="EL304" s="91"/>
      <c r="EM304" s="91"/>
      <c r="EN304" s="91"/>
      <c r="EO304" s="91"/>
      <c r="EP304" s="91"/>
      <c r="EQ304" s="91"/>
      <c r="ER304" s="91"/>
      <c r="ES304" s="91"/>
      <c r="ET304" s="91"/>
      <c r="EU304" s="91"/>
      <c r="EV304" s="91"/>
      <c r="EW304" s="91"/>
      <c r="EX304" s="91"/>
      <c r="EY304" s="91"/>
      <c r="EZ304" s="91"/>
      <c r="FA304" s="91"/>
      <c r="FB304" s="91"/>
      <c r="FC304" s="91"/>
      <c r="FD304" s="91"/>
      <c r="FE304" s="91"/>
      <c r="FF304" s="91"/>
      <c r="FG304" s="91"/>
      <c r="FH304" s="91"/>
      <c r="FI304" s="91"/>
      <c r="FJ304" s="91"/>
      <c r="FK304" s="91"/>
      <c r="FL304" s="91"/>
      <c r="FM304" s="91"/>
      <c r="FN304" s="91"/>
      <c r="FO304" s="91"/>
      <c r="FP304" s="91"/>
      <c r="FQ304" s="91"/>
      <c r="FR304" s="91"/>
      <c r="FS304" s="91"/>
      <c r="FT304" s="91"/>
      <c r="FU304" s="91"/>
      <c r="FV304" s="91"/>
    </row>
    <row r="305" spans="2:178" s="1" customFormat="1" ht="15.75">
      <c r="B305" s="358"/>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91"/>
      <c r="BT305" s="91"/>
      <c r="BU305" s="91"/>
      <c r="BV305" s="91"/>
      <c r="BW305" s="91"/>
      <c r="BX305" s="91"/>
      <c r="BY305" s="91"/>
      <c r="BZ305" s="91"/>
      <c r="CA305" s="91"/>
      <c r="CB305" s="91"/>
      <c r="CC305" s="91"/>
      <c r="CD305" s="91"/>
      <c r="CE305" s="91"/>
      <c r="CF305" s="91"/>
      <c r="CG305" s="91"/>
      <c r="CH305" s="91"/>
      <c r="CI305" s="91"/>
      <c r="CJ305" s="91"/>
      <c r="CK305" s="91"/>
      <c r="CL305" s="91"/>
      <c r="CM305" s="91"/>
      <c r="CN305" s="91"/>
      <c r="CO305" s="91"/>
      <c r="CP305" s="91"/>
      <c r="CQ305" s="91"/>
      <c r="CR305" s="91"/>
      <c r="CS305" s="91"/>
      <c r="CT305" s="91"/>
      <c r="CU305" s="91"/>
      <c r="CV305" s="91"/>
      <c r="CW305" s="91"/>
      <c r="CX305" s="91"/>
      <c r="CY305" s="91"/>
      <c r="CZ305" s="91"/>
      <c r="DA305" s="91"/>
      <c r="DB305" s="91"/>
      <c r="DC305" s="91"/>
      <c r="DD305" s="91"/>
      <c r="DE305" s="91"/>
      <c r="DF305" s="91"/>
      <c r="DG305" s="91"/>
      <c r="DH305" s="91"/>
      <c r="DI305" s="91"/>
      <c r="DJ305" s="91"/>
      <c r="DK305" s="91"/>
      <c r="DL305" s="91"/>
      <c r="DM305" s="91"/>
      <c r="DN305" s="91"/>
      <c r="DO305" s="91"/>
      <c r="DP305" s="91"/>
      <c r="DQ305" s="91"/>
      <c r="DR305" s="91"/>
      <c r="DS305" s="91"/>
      <c r="DT305" s="91"/>
      <c r="DU305" s="91"/>
      <c r="DV305" s="91"/>
      <c r="DW305" s="91"/>
      <c r="DX305" s="91"/>
      <c r="DY305" s="91"/>
      <c r="DZ305" s="91"/>
      <c r="EA305" s="91"/>
      <c r="EB305" s="91"/>
      <c r="EC305" s="91"/>
      <c r="ED305" s="91"/>
      <c r="EE305" s="91"/>
      <c r="EF305" s="91"/>
      <c r="EG305" s="91"/>
      <c r="EH305" s="91"/>
      <c r="EI305" s="91"/>
      <c r="EJ305" s="91"/>
      <c r="EK305" s="91"/>
      <c r="EL305" s="91"/>
      <c r="EM305" s="91"/>
      <c r="EN305" s="91"/>
      <c r="EO305" s="91"/>
      <c r="EP305" s="91"/>
      <c r="EQ305" s="91"/>
      <c r="ER305" s="91"/>
      <c r="ES305" s="91"/>
      <c r="ET305" s="91"/>
      <c r="EU305" s="91"/>
      <c r="EV305" s="91"/>
      <c r="EW305" s="91"/>
      <c r="EX305" s="91"/>
      <c r="EY305" s="91"/>
      <c r="EZ305" s="91"/>
      <c r="FA305" s="91"/>
      <c r="FB305" s="91"/>
      <c r="FC305" s="91"/>
      <c r="FD305" s="91"/>
      <c r="FE305" s="91"/>
      <c r="FF305" s="91"/>
      <c r="FG305" s="91"/>
      <c r="FH305" s="91"/>
      <c r="FI305" s="91"/>
      <c r="FJ305" s="91"/>
      <c r="FK305" s="91"/>
      <c r="FL305" s="91"/>
      <c r="FM305" s="91"/>
      <c r="FN305" s="91"/>
      <c r="FO305" s="91"/>
      <c r="FP305" s="91"/>
      <c r="FQ305" s="91"/>
      <c r="FR305" s="91"/>
      <c r="FS305" s="91"/>
      <c r="FT305" s="91"/>
      <c r="FU305" s="91"/>
      <c r="FV305" s="91"/>
    </row>
    <row r="306" spans="2:178" s="1" customFormat="1" ht="15.75">
      <c r="B306" s="358"/>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91"/>
      <c r="CI306" s="91"/>
      <c r="CJ306" s="91"/>
      <c r="CK306" s="91"/>
      <c r="CL306" s="91"/>
      <c r="CM306" s="91"/>
      <c r="CN306" s="91"/>
      <c r="CO306" s="91"/>
      <c r="CP306" s="91"/>
      <c r="CQ306" s="91"/>
      <c r="CR306" s="91"/>
      <c r="CS306" s="91"/>
      <c r="CT306" s="91"/>
      <c r="CU306" s="91"/>
      <c r="CV306" s="91"/>
      <c r="CW306" s="91"/>
      <c r="CX306" s="91"/>
      <c r="CY306" s="91"/>
      <c r="CZ306" s="91"/>
      <c r="DA306" s="91"/>
      <c r="DB306" s="91"/>
      <c r="DC306" s="91"/>
      <c r="DD306" s="91"/>
      <c r="DE306" s="91"/>
      <c r="DF306" s="91"/>
      <c r="DG306" s="91"/>
      <c r="DH306" s="91"/>
      <c r="DI306" s="91"/>
      <c r="DJ306" s="91"/>
      <c r="DK306" s="91"/>
      <c r="DL306" s="91"/>
      <c r="DM306" s="91"/>
      <c r="DN306" s="91"/>
      <c r="DO306" s="91"/>
      <c r="DP306" s="91"/>
      <c r="DQ306" s="91"/>
      <c r="DR306" s="91"/>
      <c r="DS306" s="91"/>
      <c r="DT306" s="91"/>
      <c r="DU306" s="91"/>
      <c r="DV306" s="91"/>
      <c r="DW306" s="91"/>
      <c r="DX306" s="91"/>
      <c r="DY306" s="91"/>
      <c r="DZ306" s="91"/>
      <c r="EA306" s="91"/>
      <c r="EB306" s="91"/>
      <c r="EC306" s="91"/>
      <c r="ED306" s="91"/>
      <c r="EE306" s="91"/>
      <c r="EF306" s="91"/>
      <c r="EG306" s="91"/>
      <c r="EH306" s="91"/>
      <c r="EI306" s="91"/>
      <c r="EJ306" s="91"/>
      <c r="EK306" s="91"/>
      <c r="EL306" s="91"/>
      <c r="EM306" s="91"/>
      <c r="EN306" s="91"/>
      <c r="EO306" s="91"/>
      <c r="EP306" s="91"/>
      <c r="EQ306" s="91"/>
      <c r="ER306" s="91"/>
      <c r="ES306" s="91"/>
      <c r="ET306" s="91"/>
      <c r="EU306" s="91"/>
      <c r="EV306" s="91"/>
      <c r="EW306" s="91"/>
      <c r="EX306" s="91"/>
      <c r="EY306" s="91"/>
      <c r="EZ306" s="91"/>
      <c r="FA306" s="91"/>
      <c r="FB306" s="91"/>
      <c r="FC306" s="91"/>
      <c r="FD306" s="91"/>
      <c r="FE306" s="91"/>
      <c r="FF306" s="91"/>
      <c r="FG306" s="91"/>
      <c r="FH306" s="91"/>
      <c r="FI306" s="91"/>
      <c r="FJ306" s="91"/>
      <c r="FK306" s="91"/>
      <c r="FL306" s="91"/>
      <c r="FM306" s="91"/>
      <c r="FN306" s="91"/>
      <c r="FO306" s="91"/>
      <c r="FP306" s="91"/>
      <c r="FQ306" s="91"/>
      <c r="FR306" s="91"/>
      <c r="FS306" s="91"/>
      <c r="FT306" s="91"/>
      <c r="FU306" s="91"/>
      <c r="FV306" s="91"/>
    </row>
    <row r="307" spans="2:178" s="1" customFormat="1" ht="15.75">
      <c r="B307" s="358"/>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c r="BW307" s="91"/>
      <c r="BX307" s="91"/>
      <c r="BY307" s="91"/>
      <c r="BZ307" s="91"/>
      <c r="CA307" s="91"/>
      <c r="CB307" s="91"/>
      <c r="CC307" s="91"/>
      <c r="CD307" s="91"/>
      <c r="CE307" s="91"/>
      <c r="CF307" s="91"/>
      <c r="CG307" s="91"/>
      <c r="CH307" s="91"/>
      <c r="CI307" s="91"/>
      <c r="CJ307" s="91"/>
      <c r="CK307" s="91"/>
      <c r="CL307" s="91"/>
      <c r="CM307" s="91"/>
      <c r="CN307" s="91"/>
      <c r="CO307" s="91"/>
      <c r="CP307" s="91"/>
      <c r="CQ307" s="91"/>
      <c r="CR307" s="91"/>
      <c r="CS307" s="91"/>
      <c r="CT307" s="91"/>
      <c r="CU307" s="91"/>
      <c r="CV307" s="91"/>
      <c r="CW307" s="91"/>
      <c r="CX307" s="91"/>
      <c r="CY307" s="91"/>
      <c r="CZ307" s="91"/>
      <c r="DA307" s="91"/>
      <c r="DB307" s="91"/>
      <c r="DC307" s="91"/>
      <c r="DD307" s="91"/>
      <c r="DE307" s="91"/>
      <c r="DF307" s="91"/>
      <c r="DG307" s="91"/>
      <c r="DH307" s="91"/>
      <c r="DI307" s="91"/>
      <c r="DJ307" s="91"/>
      <c r="DK307" s="91"/>
      <c r="DL307" s="91"/>
      <c r="DM307" s="91"/>
      <c r="DN307" s="91"/>
      <c r="DO307" s="91"/>
      <c r="DP307" s="91"/>
      <c r="DQ307" s="91"/>
      <c r="DR307" s="91"/>
      <c r="DS307" s="91"/>
      <c r="DT307" s="91"/>
      <c r="DU307" s="91"/>
      <c r="DV307" s="91"/>
      <c r="DW307" s="91"/>
      <c r="DX307" s="91"/>
      <c r="DY307" s="91"/>
      <c r="DZ307" s="91"/>
      <c r="EA307" s="91"/>
      <c r="EB307" s="91"/>
      <c r="EC307" s="91"/>
      <c r="ED307" s="91"/>
      <c r="EE307" s="91"/>
      <c r="EF307" s="91"/>
      <c r="EG307" s="91"/>
      <c r="EH307" s="91"/>
      <c r="EI307" s="91"/>
      <c r="EJ307" s="91"/>
      <c r="EK307" s="91"/>
      <c r="EL307" s="91"/>
      <c r="EM307" s="91"/>
      <c r="EN307" s="91"/>
      <c r="EO307" s="91"/>
      <c r="EP307" s="91"/>
      <c r="EQ307" s="91"/>
      <c r="ER307" s="91"/>
      <c r="ES307" s="91"/>
      <c r="ET307" s="91"/>
      <c r="EU307" s="91"/>
      <c r="EV307" s="91"/>
      <c r="EW307" s="91"/>
      <c r="EX307" s="91"/>
      <c r="EY307" s="91"/>
      <c r="EZ307" s="91"/>
      <c r="FA307" s="91"/>
      <c r="FB307" s="91"/>
      <c r="FC307" s="91"/>
      <c r="FD307" s="91"/>
      <c r="FE307" s="91"/>
      <c r="FF307" s="91"/>
      <c r="FG307" s="91"/>
      <c r="FH307" s="91"/>
      <c r="FI307" s="91"/>
      <c r="FJ307" s="91"/>
      <c r="FK307" s="91"/>
      <c r="FL307" s="91"/>
      <c r="FM307" s="91"/>
      <c r="FN307" s="91"/>
      <c r="FO307" s="91"/>
      <c r="FP307" s="91"/>
      <c r="FQ307" s="91"/>
      <c r="FR307" s="91"/>
      <c r="FS307" s="91"/>
      <c r="FT307" s="91"/>
      <c r="FU307" s="91"/>
      <c r="FV307" s="91"/>
    </row>
    <row r="308" spans="2:178" s="1" customFormat="1" ht="15.75">
      <c r="B308" s="358"/>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c r="BW308" s="91"/>
      <c r="BX308" s="91"/>
      <c r="BY308" s="91"/>
      <c r="BZ308" s="91"/>
      <c r="CA308" s="91"/>
      <c r="CB308" s="91"/>
      <c r="CC308" s="91"/>
      <c r="CD308" s="91"/>
      <c r="CE308" s="91"/>
      <c r="CF308" s="91"/>
      <c r="CG308" s="91"/>
      <c r="CH308" s="91"/>
      <c r="CI308" s="91"/>
      <c r="CJ308" s="91"/>
      <c r="CK308" s="91"/>
      <c r="CL308" s="91"/>
      <c r="CM308" s="91"/>
      <c r="CN308" s="91"/>
      <c r="CO308" s="91"/>
      <c r="CP308" s="91"/>
      <c r="CQ308" s="91"/>
      <c r="CR308" s="91"/>
      <c r="CS308" s="91"/>
      <c r="CT308" s="91"/>
      <c r="CU308" s="91"/>
      <c r="CV308" s="91"/>
      <c r="CW308" s="91"/>
      <c r="CX308" s="91"/>
      <c r="CY308" s="91"/>
      <c r="CZ308" s="91"/>
      <c r="DA308" s="91"/>
      <c r="DB308" s="91"/>
      <c r="DC308" s="91"/>
      <c r="DD308" s="91"/>
      <c r="DE308" s="91"/>
      <c r="DF308" s="91"/>
      <c r="DG308" s="91"/>
      <c r="DH308" s="91"/>
      <c r="DI308" s="91"/>
      <c r="DJ308" s="91"/>
      <c r="DK308" s="91"/>
      <c r="DL308" s="91"/>
      <c r="DM308" s="91"/>
      <c r="DN308" s="91"/>
      <c r="DO308" s="91"/>
      <c r="DP308" s="91"/>
      <c r="DQ308" s="91"/>
      <c r="DR308" s="91"/>
      <c r="DS308" s="91"/>
      <c r="DT308" s="91"/>
      <c r="DU308" s="91"/>
      <c r="DV308" s="91"/>
      <c r="DW308" s="91"/>
      <c r="DX308" s="91"/>
      <c r="DY308" s="91"/>
      <c r="DZ308" s="91"/>
      <c r="EA308" s="91"/>
      <c r="EB308" s="91"/>
      <c r="EC308" s="91"/>
      <c r="ED308" s="91"/>
      <c r="EE308" s="91"/>
      <c r="EF308" s="91"/>
      <c r="EG308" s="91"/>
      <c r="EH308" s="91"/>
      <c r="EI308" s="91"/>
      <c r="EJ308" s="91"/>
      <c r="EK308" s="91"/>
      <c r="EL308" s="91"/>
      <c r="EM308" s="91"/>
      <c r="EN308" s="91"/>
      <c r="EO308" s="91"/>
      <c r="EP308" s="91"/>
      <c r="EQ308" s="91"/>
      <c r="ER308" s="91"/>
      <c r="ES308" s="91"/>
      <c r="ET308" s="91"/>
      <c r="EU308" s="91"/>
      <c r="EV308" s="91"/>
      <c r="EW308" s="91"/>
      <c r="EX308" s="91"/>
      <c r="EY308" s="91"/>
      <c r="EZ308" s="91"/>
      <c r="FA308" s="91"/>
      <c r="FB308" s="91"/>
      <c r="FC308" s="91"/>
      <c r="FD308" s="91"/>
      <c r="FE308" s="91"/>
      <c r="FF308" s="91"/>
      <c r="FG308" s="91"/>
      <c r="FH308" s="91"/>
      <c r="FI308" s="91"/>
      <c r="FJ308" s="91"/>
      <c r="FK308" s="91"/>
      <c r="FL308" s="91"/>
      <c r="FM308" s="91"/>
      <c r="FN308" s="91"/>
      <c r="FO308" s="91"/>
      <c r="FP308" s="91"/>
      <c r="FQ308" s="91"/>
      <c r="FR308" s="91"/>
      <c r="FS308" s="91"/>
      <c r="FT308" s="91"/>
      <c r="FU308" s="91"/>
      <c r="FV308" s="91"/>
    </row>
    <row r="309" spans="2:178" s="1" customFormat="1" ht="15.75">
      <c r="B309" s="358"/>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91"/>
      <c r="CI309" s="91"/>
      <c r="CJ309" s="91"/>
      <c r="CK309" s="91"/>
      <c r="CL309" s="91"/>
      <c r="CM309" s="91"/>
      <c r="CN309" s="91"/>
      <c r="CO309" s="91"/>
      <c r="CP309" s="91"/>
      <c r="CQ309" s="91"/>
      <c r="CR309" s="91"/>
      <c r="CS309" s="91"/>
      <c r="CT309" s="91"/>
      <c r="CU309" s="91"/>
      <c r="CV309" s="91"/>
      <c r="CW309" s="91"/>
      <c r="CX309" s="91"/>
      <c r="CY309" s="91"/>
      <c r="CZ309" s="91"/>
      <c r="DA309" s="91"/>
      <c r="DB309" s="91"/>
      <c r="DC309" s="91"/>
      <c r="DD309" s="91"/>
      <c r="DE309" s="91"/>
      <c r="DF309" s="91"/>
      <c r="DG309" s="91"/>
      <c r="DH309" s="91"/>
      <c r="DI309" s="91"/>
      <c r="DJ309" s="91"/>
      <c r="DK309" s="91"/>
      <c r="DL309" s="91"/>
      <c r="DM309" s="91"/>
      <c r="DN309" s="91"/>
      <c r="DO309" s="91"/>
      <c r="DP309" s="91"/>
      <c r="DQ309" s="91"/>
      <c r="DR309" s="91"/>
      <c r="DS309" s="91"/>
      <c r="DT309" s="91"/>
      <c r="DU309" s="91"/>
      <c r="DV309" s="91"/>
      <c r="DW309" s="91"/>
      <c r="DX309" s="91"/>
      <c r="DY309" s="91"/>
      <c r="DZ309" s="91"/>
      <c r="EA309" s="91"/>
      <c r="EB309" s="91"/>
      <c r="EC309" s="91"/>
      <c r="ED309" s="91"/>
      <c r="EE309" s="91"/>
      <c r="EF309" s="91"/>
      <c r="EG309" s="91"/>
      <c r="EH309" s="91"/>
      <c r="EI309" s="91"/>
      <c r="EJ309" s="91"/>
      <c r="EK309" s="91"/>
      <c r="EL309" s="91"/>
      <c r="EM309" s="91"/>
      <c r="EN309" s="91"/>
      <c r="EO309" s="91"/>
      <c r="EP309" s="91"/>
      <c r="EQ309" s="91"/>
      <c r="ER309" s="91"/>
      <c r="ES309" s="91"/>
      <c r="ET309" s="91"/>
      <c r="EU309" s="91"/>
      <c r="EV309" s="91"/>
      <c r="EW309" s="91"/>
      <c r="EX309" s="91"/>
      <c r="EY309" s="91"/>
      <c r="EZ309" s="91"/>
      <c r="FA309" s="91"/>
      <c r="FB309" s="91"/>
      <c r="FC309" s="91"/>
      <c r="FD309" s="91"/>
      <c r="FE309" s="91"/>
      <c r="FF309" s="91"/>
      <c r="FG309" s="91"/>
      <c r="FH309" s="91"/>
      <c r="FI309" s="91"/>
      <c r="FJ309" s="91"/>
      <c r="FK309" s="91"/>
      <c r="FL309" s="91"/>
      <c r="FM309" s="91"/>
      <c r="FN309" s="91"/>
      <c r="FO309" s="91"/>
      <c r="FP309" s="91"/>
      <c r="FQ309" s="91"/>
      <c r="FR309" s="91"/>
      <c r="FS309" s="91"/>
      <c r="FT309" s="91"/>
      <c r="FU309" s="91"/>
      <c r="FV309" s="91"/>
    </row>
    <row r="310" spans="2:178" s="1" customFormat="1" ht="15.75">
      <c r="B310" s="358"/>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91"/>
      <c r="CI310" s="91"/>
      <c r="CJ310" s="91"/>
      <c r="CK310" s="91"/>
      <c r="CL310" s="91"/>
      <c r="CM310" s="91"/>
      <c r="CN310" s="91"/>
      <c r="CO310" s="91"/>
      <c r="CP310" s="91"/>
      <c r="CQ310" s="91"/>
      <c r="CR310" s="91"/>
      <c r="CS310" s="91"/>
      <c r="CT310" s="91"/>
      <c r="CU310" s="91"/>
      <c r="CV310" s="91"/>
      <c r="CW310" s="91"/>
      <c r="CX310" s="91"/>
      <c r="CY310" s="91"/>
      <c r="CZ310" s="91"/>
      <c r="DA310" s="91"/>
      <c r="DB310" s="91"/>
      <c r="DC310" s="91"/>
      <c r="DD310" s="91"/>
      <c r="DE310" s="91"/>
      <c r="DF310" s="91"/>
      <c r="DG310" s="91"/>
      <c r="DH310" s="91"/>
      <c r="DI310" s="91"/>
      <c r="DJ310" s="91"/>
      <c r="DK310" s="91"/>
      <c r="DL310" s="91"/>
      <c r="DM310" s="91"/>
      <c r="DN310" s="91"/>
      <c r="DO310" s="91"/>
      <c r="DP310" s="91"/>
      <c r="DQ310" s="91"/>
      <c r="DR310" s="91"/>
      <c r="DS310" s="91"/>
      <c r="DT310" s="91"/>
      <c r="DU310" s="91"/>
      <c r="DV310" s="91"/>
      <c r="DW310" s="91"/>
      <c r="DX310" s="91"/>
      <c r="DY310" s="91"/>
      <c r="DZ310" s="91"/>
      <c r="EA310" s="91"/>
      <c r="EB310" s="91"/>
      <c r="EC310" s="91"/>
      <c r="ED310" s="91"/>
      <c r="EE310" s="91"/>
      <c r="EF310" s="91"/>
      <c r="EG310" s="91"/>
      <c r="EH310" s="91"/>
      <c r="EI310" s="91"/>
      <c r="EJ310" s="91"/>
      <c r="EK310" s="91"/>
      <c r="EL310" s="91"/>
      <c r="EM310" s="91"/>
      <c r="EN310" s="91"/>
      <c r="EO310" s="91"/>
      <c r="EP310" s="91"/>
      <c r="EQ310" s="91"/>
      <c r="ER310" s="91"/>
      <c r="ES310" s="91"/>
      <c r="ET310" s="91"/>
      <c r="EU310" s="91"/>
      <c r="EV310" s="91"/>
      <c r="EW310" s="91"/>
      <c r="EX310" s="91"/>
      <c r="EY310" s="91"/>
      <c r="EZ310" s="91"/>
      <c r="FA310" s="91"/>
      <c r="FB310" s="91"/>
      <c r="FC310" s="91"/>
      <c r="FD310" s="91"/>
      <c r="FE310" s="91"/>
      <c r="FF310" s="91"/>
      <c r="FG310" s="91"/>
      <c r="FH310" s="91"/>
      <c r="FI310" s="91"/>
      <c r="FJ310" s="91"/>
      <c r="FK310" s="91"/>
      <c r="FL310" s="91"/>
      <c r="FM310" s="91"/>
      <c r="FN310" s="91"/>
      <c r="FO310" s="91"/>
      <c r="FP310" s="91"/>
      <c r="FQ310" s="91"/>
      <c r="FR310" s="91"/>
      <c r="FS310" s="91"/>
      <c r="FT310" s="91"/>
      <c r="FU310" s="91"/>
      <c r="FV310" s="91"/>
    </row>
    <row r="311" spans="2:178" s="1" customFormat="1" ht="15.75">
      <c r="B311" s="358"/>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91"/>
      <c r="BU311" s="91"/>
      <c r="BV311" s="91"/>
      <c r="BW311" s="91"/>
      <c r="BX311" s="91"/>
      <c r="BY311" s="91"/>
      <c r="BZ311" s="91"/>
      <c r="CA311" s="91"/>
      <c r="CB311" s="91"/>
      <c r="CC311" s="91"/>
      <c r="CD311" s="91"/>
      <c r="CE311" s="91"/>
      <c r="CF311" s="91"/>
      <c r="CG311" s="91"/>
      <c r="CH311" s="91"/>
      <c r="CI311" s="91"/>
      <c r="CJ311" s="91"/>
      <c r="CK311" s="91"/>
      <c r="CL311" s="91"/>
      <c r="CM311" s="91"/>
      <c r="CN311" s="91"/>
      <c r="CO311" s="91"/>
      <c r="CP311" s="91"/>
      <c r="CQ311" s="91"/>
      <c r="CR311" s="91"/>
      <c r="CS311" s="91"/>
      <c r="CT311" s="91"/>
      <c r="CU311" s="91"/>
      <c r="CV311" s="91"/>
      <c r="CW311" s="91"/>
      <c r="CX311" s="91"/>
      <c r="CY311" s="91"/>
      <c r="CZ311" s="91"/>
      <c r="DA311" s="91"/>
      <c r="DB311" s="91"/>
      <c r="DC311" s="91"/>
      <c r="DD311" s="91"/>
      <c r="DE311" s="91"/>
      <c r="DF311" s="91"/>
      <c r="DG311" s="91"/>
      <c r="DH311" s="91"/>
      <c r="DI311" s="91"/>
      <c r="DJ311" s="91"/>
      <c r="DK311" s="91"/>
      <c r="DL311" s="91"/>
      <c r="DM311" s="91"/>
      <c r="DN311" s="91"/>
      <c r="DO311" s="91"/>
      <c r="DP311" s="91"/>
      <c r="DQ311" s="91"/>
      <c r="DR311" s="91"/>
      <c r="DS311" s="91"/>
      <c r="DT311" s="91"/>
      <c r="DU311" s="91"/>
      <c r="DV311" s="91"/>
      <c r="DW311" s="91"/>
      <c r="DX311" s="91"/>
      <c r="DY311" s="91"/>
      <c r="DZ311" s="91"/>
      <c r="EA311" s="91"/>
      <c r="EB311" s="91"/>
      <c r="EC311" s="91"/>
      <c r="ED311" s="91"/>
      <c r="EE311" s="91"/>
      <c r="EF311" s="91"/>
      <c r="EG311" s="91"/>
      <c r="EH311" s="91"/>
      <c r="EI311" s="91"/>
      <c r="EJ311" s="91"/>
      <c r="EK311" s="91"/>
      <c r="EL311" s="91"/>
      <c r="EM311" s="91"/>
      <c r="EN311" s="91"/>
      <c r="EO311" s="91"/>
      <c r="EP311" s="91"/>
      <c r="EQ311" s="91"/>
      <c r="ER311" s="91"/>
      <c r="ES311" s="91"/>
      <c r="ET311" s="91"/>
      <c r="EU311" s="91"/>
      <c r="EV311" s="91"/>
      <c r="EW311" s="91"/>
      <c r="EX311" s="91"/>
      <c r="EY311" s="91"/>
      <c r="EZ311" s="91"/>
      <c r="FA311" s="91"/>
      <c r="FB311" s="91"/>
      <c r="FC311" s="91"/>
      <c r="FD311" s="91"/>
      <c r="FE311" s="91"/>
      <c r="FF311" s="91"/>
      <c r="FG311" s="91"/>
      <c r="FH311" s="91"/>
      <c r="FI311" s="91"/>
      <c r="FJ311" s="91"/>
      <c r="FK311" s="91"/>
      <c r="FL311" s="91"/>
      <c r="FM311" s="91"/>
      <c r="FN311" s="91"/>
      <c r="FO311" s="91"/>
      <c r="FP311" s="91"/>
      <c r="FQ311" s="91"/>
      <c r="FR311" s="91"/>
      <c r="FS311" s="91"/>
      <c r="FT311" s="91"/>
      <c r="FU311" s="91"/>
      <c r="FV311" s="91"/>
    </row>
    <row r="312" spans="2:178" s="1" customFormat="1" ht="15.75">
      <c r="B312" s="358"/>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91"/>
      <c r="CI312" s="91"/>
      <c r="CJ312" s="91"/>
      <c r="CK312" s="91"/>
      <c r="CL312" s="91"/>
      <c r="CM312" s="91"/>
      <c r="CN312" s="91"/>
      <c r="CO312" s="91"/>
      <c r="CP312" s="91"/>
      <c r="CQ312" s="91"/>
      <c r="CR312" s="91"/>
      <c r="CS312" s="91"/>
      <c r="CT312" s="91"/>
      <c r="CU312" s="91"/>
      <c r="CV312" s="91"/>
      <c r="CW312" s="91"/>
      <c r="CX312" s="91"/>
      <c r="CY312" s="91"/>
      <c r="CZ312" s="91"/>
      <c r="DA312" s="91"/>
      <c r="DB312" s="91"/>
      <c r="DC312" s="91"/>
      <c r="DD312" s="91"/>
      <c r="DE312" s="91"/>
      <c r="DF312" s="91"/>
      <c r="DG312" s="91"/>
      <c r="DH312" s="91"/>
      <c r="DI312" s="91"/>
      <c r="DJ312" s="91"/>
      <c r="DK312" s="91"/>
      <c r="DL312" s="91"/>
      <c r="DM312" s="91"/>
      <c r="DN312" s="91"/>
      <c r="DO312" s="91"/>
      <c r="DP312" s="91"/>
      <c r="DQ312" s="91"/>
      <c r="DR312" s="91"/>
      <c r="DS312" s="91"/>
      <c r="DT312" s="91"/>
      <c r="DU312" s="91"/>
      <c r="DV312" s="91"/>
      <c r="DW312" s="91"/>
      <c r="DX312" s="91"/>
      <c r="DY312" s="91"/>
      <c r="DZ312" s="91"/>
      <c r="EA312" s="91"/>
      <c r="EB312" s="91"/>
      <c r="EC312" s="91"/>
      <c r="ED312" s="91"/>
      <c r="EE312" s="91"/>
      <c r="EF312" s="91"/>
      <c r="EG312" s="91"/>
      <c r="EH312" s="91"/>
      <c r="EI312" s="91"/>
      <c r="EJ312" s="91"/>
      <c r="EK312" s="91"/>
      <c r="EL312" s="91"/>
      <c r="EM312" s="91"/>
      <c r="EN312" s="91"/>
      <c r="EO312" s="91"/>
      <c r="EP312" s="91"/>
      <c r="EQ312" s="91"/>
      <c r="ER312" s="91"/>
      <c r="ES312" s="91"/>
      <c r="ET312" s="91"/>
      <c r="EU312" s="91"/>
      <c r="EV312" s="91"/>
      <c r="EW312" s="91"/>
      <c r="EX312" s="91"/>
      <c r="EY312" s="91"/>
      <c r="EZ312" s="91"/>
      <c r="FA312" s="91"/>
      <c r="FB312" s="91"/>
      <c r="FC312" s="91"/>
      <c r="FD312" s="91"/>
      <c r="FE312" s="91"/>
      <c r="FF312" s="91"/>
      <c r="FG312" s="91"/>
      <c r="FH312" s="91"/>
      <c r="FI312" s="91"/>
      <c r="FJ312" s="91"/>
      <c r="FK312" s="91"/>
      <c r="FL312" s="91"/>
      <c r="FM312" s="91"/>
      <c r="FN312" s="91"/>
      <c r="FO312" s="91"/>
      <c r="FP312" s="91"/>
      <c r="FQ312" s="91"/>
      <c r="FR312" s="91"/>
      <c r="FS312" s="91"/>
      <c r="FT312" s="91"/>
      <c r="FU312" s="91"/>
      <c r="FV312" s="91"/>
    </row>
    <row r="313" spans="2:178" s="1" customFormat="1" ht="15.75">
      <c r="B313" s="358"/>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91"/>
      <c r="CI313" s="91"/>
      <c r="CJ313" s="91"/>
      <c r="CK313" s="91"/>
      <c r="CL313" s="91"/>
      <c r="CM313" s="91"/>
      <c r="CN313" s="91"/>
      <c r="CO313" s="91"/>
      <c r="CP313" s="91"/>
      <c r="CQ313" s="91"/>
      <c r="CR313" s="91"/>
      <c r="CS313" s="91"/>
      <c r="CT313" s="91"/>
      <c r="CU313" s="91"/>
      <c r="CV313" s="91"/>
      <c r="CW313" s="91"/>
      <c r="CX313" s="91"/>
      <c r="CY313" s="91"/>
      <c r="CZ313" s="91"/>
      <c r="DA313" s="91"/>
      <c r="DB313" s="91"/>
      <c r="DC313" s="91"/>
      <c r="DD313" s="91"/>
      <c r="DE313" s="91"/>
      <c r="DF313" s="91"/>
      <c r="DG313" s="91"/>
      <c r="DH313" s="91"/>
      <c r="DI313" s="91"/>
      <c r="DJ313" s="91"/>
      <c r="DK313" s="91"/>
      <c r="DL313" s="91"/>
      <c r="DM313" s="91"/>
      <c r="DN313" s="91"/>
      <c r="DO313" s="91"/>
      <c r="DP313" s="91"/>
      <c r="DQ313" s="91"/>
      <c r="DR313" s="91"/>
      <c r="DS313" s="91"/>
      <c r="DT313" s="91"/>
      <c r="DU313" s="91"/>
      <c r="DV313" s="91"/>
      <c r="DW313" s="91"/>
      <c r="DX313" s="91"/>
      <c r="DY313" s="91"/>
      <c r="DZ313" s="91"/>
      <c r="EA313" s="91"/>
      <c r="EB313" s="91"/>
      <c r="EC313" s="91"/>
      <c r="ED313" s="91"/>
      <c r="EE313" s="91"/>
      <c r="EF313" s="91"/>
      <c r="EG313" s="91"/>
      <c r="EH313" s="91"/>
      <c r="EI313" s="91"/>
      <c r="EJ313" s="91"/>
      <c r="EK313" s="91"/>
      <c r="EL313" s="91"/>
      <c r="EM313" s="91"/>
      <c r="EN313" s="91"/>
      <c r="EO313" s="91"/>
      <c r="EP313" s="91"/>
      <c r="EQ313" s="91"/>
      <c r="ER313" s="91"/>
      <c r="ES313" s="91"/>
      <c r="ET313" s="91"/>
      <c r="EU313" s="91"/>
      <c r="EV313" s="91"/>
      <c r="EW313" s="91"/>
      <c r="EX313" s="91"/>
      <c r="EY313" s="91"/>
      <c r="EZ313" s="91"/>
      <c r="FA313" s="91"/>
      <c r="FB313" s="91"/>
      <c r="FC313" s="91"/>
      <c r="FD313" s="91"/>
      <c r="FE313" s="91"/>
      <c r="FF313" s="91"/>
      <c r="FG313" s="91"/>
      <c r="FH313" s="91"/>
      <c r="FI313" s="91"/>
      <c r="FJ313" s="91"/>
      <c r="FK313" s="91"/>
      <c r="FL313" s="91"/>
      <c r="FM313" s="91"/>
      <c r="FN313" s="91"/>
      <c r="FO313" s="91"/>
      <c r="FP313" s="91"/>
      <c r="FQ313" s="91"/>
      <c r="FR313" s="91"/>
      <c r="FS313" s="91"/>
      <c r="FT313" s="91"/>
      <c r="FU313" s="91"/>
      <c r="FV313" s="91"/>
    </row>
    <row r="314" spans="2:178" s="1" customFormat="1" ht="15.75">
      <c r="B314" s="358"/>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c r="BW314" s="91"/>
      <c r="BX314" s="91"/>
      <c r="BY314" s="91"/>
      <c r="BZ314" s="91"/>
      <c r="CA314" s="91"/>
      <c r="CB314" s="91"/>
      <c r="CC314" s="91"/>
      <c r="CD314" s="91"/>
      <c r="CE314" s="91"/>
      <c r="CF314" s="91"/>
      <c r="CG314" s="91"/>
      <c r="CH314" s="91"/>
      <c r="CI314" s="91"/>
      <c r="CJ314" s="91"/>
      <c r="CK314" s="91"/>
      <c r="CL314" s="91"/>
      <c r="CM314" s="91"/>
      <c r="CN314" s="91"/>
      <c r="CO314" s="91"/>
      <c r="CP314" s="91"/>
      <c r="CQ314" s="91"/>
      <c r="CR314" s="91"/>
      <c r="CS314" s="91"/>
      <c r="CT314" s="91"/>
      <c r="CU314" s="91"/>
      <c r="CV314" s="91"/>
      <c r="CW314" s="91"/>
      <c r="CX314" s="91"/>
      <c r="CY314" s="91"/>
      <c r="CZ314" s="91"/>
      <c r="DA314" s="91"/>
      <c r="DB314" s="91"/>
      <c r="DC314" s="91"/>
      <c r="DD314" s="91"/>
      <c r="DE314" s="91"/>
      <c r="DF314" s="91"/>
      <c r="DG314" s="91"/>
      <c r="DH314" s="91"/>
      <c r="DI314" s="91"/>
      <c r="DJ314" s="91"/>
      <c r="DK314" s="91"/>
      <c r="DL314" s="91"/>
      <c r="DM314" s="91"/>
      <c r="DN314" s="91"/>
      <c r="DO314" s="91"/>
      <c r="DP314" s="91"/>
      <c r="DQ314" s="91"/>
      <c r="DR314" s="91"/>
      <c r="DS314" s="91"/>
      <c r="DT314" s="91"/>
      <c r="DU314" s="91"/>
      <c r="DV314" s="91"/>
      <c r="DW314" s="91"/>
      <c r="DX314" s="91"/>
      <c r="DY314" s="91"/>
      <c r="DZ314" s="91"/>
      <c r="EA314" s="91"/>
      <c r="EB314" s="91"/>
      <c r="EC314" s="91"/>
      <c r="ED314" s="91"/>
      <c r="EE314" s="91"/>
      <c r="EF314" s="91"/>
      <c r="EG314" s="91"/>
      <c r="EH314" s="91"/>
      <c r="EI314" s="91"/>
      <c r="EJ314" s="91"/>
      <c r="EK314" s="91"/>
      <c r="EL314" s="91"/>
      <c r="EM314" s="91"/>
      <c r="EN314" s="91"/>
      <c r="EO314" s="91"/>
      <c r="EP314" s="91"/>
      <c r="EQ314" s="91"/>
      <c r="ER314" s="91"/>
      <c r="ES314" s="91"/>
      <c r="ET314" s="91"/>
      <c r="EU314" s="91"/>
      <c r="EV314" s="91"/>
      <c r="EW314" s="91"/>
      <c r="EX314" s="91"/>
      <c r="EY314" s="91"/>
      <c r="EZ314" s="91"/>
      <c r="FA314" s="91"/>
      <c r="FB314" s="91"/>
      <c r="FC314" s="91"/>
      <c r="FD314" s="91"/>
      <c r="FE314" s="91"/>
      <c r="FF314" s="91"/>
      <c r="FG314" s="91"/>
      <c r="FH314" s="91"/>
      <c r="FI314" s="91"/>
      <c r="FJ314" s="91"/>
      <c r="FK314" s="91"/>
      <c r="FL314" s="91"/>
      <c r="FM314" s="91"/>
      <c r="FN314" s="91"/>
      <c r="FO314" s="91"/>
      <c r="FP314" s="91"/>
      <c r="FQ314" s="91"/>
      <c r="FR314" s="91"/>
      <c r="FS314" s="91"/>
      <c r="FT314" s="91"/>
      <c r="FU314" s="91"/>
      <c r="FV314" s="91"/>
    </row>
    <row r="315" spans="2:178" s="1" customFormat="1" ht="15.75">
      <c r="B315" s="358"/>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91"/>
      <c r="CI315" s="91"/>
      <c r="CJ315" s="91"/>
      <c r="CK315" s="91"/>
      <c r="CL315" s="91"/>
      <c r="CM315" s="91"/>
      <c r="CN315" s="91"/>
      <c r="CO315" s="91"/>
      <c r="CP315" s="91"/>
      <c r="CQ315" s="91"/>
      <c r="CR315" s="91"/>
      <c r="CS315" s="91"/>
      <c r="CT315" s="91"/>
      <c r="CU315" s="91"/>
      <c r="CV315" s="91"/>
      <c r="CW315" s="91"/>
      <c r="CX315" s="91"/>
      <c r="CY315" s="91"/>
      <c r="CZ315" s="91"/>
      <c r="DA315" s="91"/>
      <c r="DB315" s="91"/>
      <c r="DC315" s="91"/>
      <c r="DD315" s="91"/>
      <c r="DE315" s="91"/>
      <c r="DF315" s="91"/>
      <c r="DG315" s="91"/>
      <c r="DH315" s="91"/>
      <c r="DI315" s="91"/>
      <c r="DJ315" s="91"/>
      <c r="DK315" s="91"/>
      <c r="DL315" s="91"/>
      <c r="DM315" s="91"/>
      <c r="DN315" s="91"/>
      <c r="DO315" s="91"/>
      <c r="DP315" s="91"/>
      <c r="DQ315" s="91"/>
      <c r="DR315" s="91"/>
      <c r="DS315" s="91"/>
      <c r="DT315" s="91"/>
      <c r="DU315" s="91"/>
      <c r="DV315" s="91"/>
      <c r="DW315" s="91"/>
      <c r="DX315" s="91"/>
      <c r="DY315" s="91"/>
      <c r="DZ315" s="91"/>
      <c r="EA315" s="91"/>
      <c r="EB315" s="91"/>
      <c r="EC315" s="91"/>
      <c r="ED315" s="91"/>
      <c r="EE315" s="91"/>
      <c r="EF315" s="91"/>
      <c r="EG315" s="91"/>
      <c r="EH315" s="91"/>
      <c r="EI315" s="91"/>
      <c r="EJ315" s="91"/>
      <c r="EK315" s="91"/>
      <c r="EL315" s="91"/>
      <c r="EM315" s="91"/>
      <c r="EN315" s="91"/>
      <c r="EO315" s="91"/>
      <c r="EP315" s="91"/>
      <c r="EQ315" s="91"/>
      <c r="ER315" s="91"/>
      <c r="ES315" s="91"/>
      <c r="ET315" s="91"/>
      <c r="EU315" s="91"/>
      <c r="EV315" s="91"/>
      <c r="EW315" s="91"/>
      <c r="EX315" s="91"/>
      <c r="EY315" s="91"/>
      <c r="EZ315" s="91"/>
      <c r="FA315" s="91"/>
      <c r="FB315" s="91"/>
      <c r="FC315" s="91"/>
      <c r="FD315" s="91"/>
      <c r="FE315" s="91"/>
      <c r="FF315" s="91"/>
      <c r="FG315" s="91"/>
      <c r="FH315" s="91"/>
      <c r="FI315" s="91"/>
      <c r="FJ315" s="91"/>
      <c r="FK315" s="91"/>
      <c r="FL315" s="91"/>
      <c r="FM315" s="91"/>
      <c r="FN315" s="91"/>
      <c r="FO315" s="91"/>
      <c r="FP315" s="91"/>
      <c r="FQ315" s="91"/>
      <c r="FR315" s="91"/>
      <c r="FS315" s="91"/>
      <c r="FT315" s="91"/>
      <c r="FU315" s="91"/>
      <c r="FV315" s="91"/>
    </row>
    <row r="316" spans="2:178" s="1" customFormat="1" ht="15.75">
      <c r="B316" s="358"/>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c r="BW316" s="91"/>
      <c r="BX316" s="91"/>
      <c r="BY316" s="91"/>
      <c r="BZ316" s="91"/>
      <c r="CA316" s="91"/>
      <c r="CB316" s="91"/>
      <c r="CC316" s="91"/>
      <c r="CD316" s="91"/>
      <c r="CE316" s="91"/>
      <c r="CF316" s="91"/>
      <c r="CG316" s="91"/>
      <c r="CH316" s="91"/>
      <c r="CI316" s="91"/>
      <c r="CJ316" s="91"/>
      <c r="CK316" s="91"/>
      <c r="CL316" s="91"/>
      <c r="CM316" s="91"/>
      <c r="CN316" s="91"/>
      <c r="CO316" s="91"/>
      <c r="CP316" s="91"/>
      <c r="CQ316" s="91"/>
      <c r="CR316" s="91"/>
      <c r="CS316" s="91"/>
      <c r="CT316" s="91"/>
      <c r="CU316" s="91"/>
      <c r="CV316" s="91"/>
      <c r="CW316" s="91"/>
      <c r="CX316" s="91"/>
      <c r="CY316" s="91"/>
      <c r="CZ316" s="91"/>
      <c r="DA316" s="91"/>
      <c r="DB316" s="91"/>
      <c r="DC316" s="91"/>
      <c r="DD316" s="91"/>
      <c r="DE316" s="91"/>
      <c r="DF316" s="91"/>
      <c r="DG316" s="91"/>
      <c r="DH316" s="91"/>
      <c r="DI316" s="91"/>
      <c r="DJ316" s="91"/>
      <c r="DK316" s="91"/>
      <c r="DL316" s="91"/>
      <c r="DM316" s="91"/>
      <c r="DN316" s="91"/>
      <c r="DO316" s="91"/>
      <c r="DP316" s="91"/>
      <c r="DQ316" s="91"/>
      <c r="DR316" s="91"/>
      <c r="DS316" s="91"/>
      <c r="DT316" s="91"/>
      <c r="DU316" s="91"/>
      <c r="DV316" s="91"/>
      <c r="DW316" s="91"/>
      <c r="DX316" s="91"/>
      <c r="DY316" s="91"/>
      <c r="DZ316" s="91"/>
      <c r="EA316" s="91"/>
      <c r="EB316" s="91"/>
      <c r="EC316" s="91"/>
      <c r="ED316" s="91"/>
      <c r="EE316" s="91"/>
      <c r="EF316" s="91"/>
      <c r="EG316" s="91"/>
      <c r="EH316" s="91"/>
      <c r="EI316" s="91"/>
      <c r="EJ316" s="91"/>
      <c r="EK316" s="91"/>
      <c r="EL316" s="91"/>
      <c r="EM316" s="91"/>
      <c r="EN316" s="91"/>
      <c r="EO316" s="91"/>
      <c r="EP316" s="91"/>
      <c r="EQ316" s="91"/>
      <c r="ER316" s="91"/>
      <c r="ES316" s="91"/>
      <c r="ET316" s="91"/>
      <c r="EU316" s="91"/>
      <c r="EV316" s="91"/>
      <c r="EW316" s="91"/>
      <c r="EX316" s="91"/>
      <c r="EY316" s="91"/>
      <c r="EZ316" s="91"/>
      <c r="FA316" s="91"/>
      <c r="FB316" s="91"/>
      <c r="FC316" s="91"/>
      <c r="FD316" s="91"/>
      <c r="FE316" s="91"/>
      <c r="FF316" s="91"/>
      <c r="FG316" s="91"/>
      <c r="FH316" s="91"/>
      <c r="FI316" s="91"/>
      <c r="FJ316" s="91"/>
      <c r="FK316" s="91"/>
      <c r="FL316" s="91"/>
      <c r="FM316" s="91"/>
      <c r="FN316" s="91"/>
      <c r="FO316" s="91"/>
      <c r="FP316" s="91"/>
      <c r="FQ316" s="91"/>
      <c r="FR316" s="91"/>
      <c r="FS316" s="91"/>
      <c r="FT316" s="91"/>
      <c r="FU316" s="91"/>
      <c r="FV316" s="91"/>
    </row>
  </sheetData>
  <sheetProtection/>
  <mergeCells count="50">
    <mergeCell ref="C116:C117"/>
    <mergeCell ref="A152:B152"/>
    <mergeCell ref="A153:B153"/>
    <mergeCell ref="A154:B154"/>
    <mergeCell ref="A155:B155"/>
    <mergeCell ref="A156:B156"/>
    <mergeCell ref="A140:B140"/>
    <mergeCell ref="A141:B141"/>
    <mergeCell ref="A142:B142"/>
    <mergeCell ref="A143:B143"/>
    <mergeCell ref="A157:B157"/>
    <mergeCell ref="A146:B146"/>
    <mergeCell ref="A147:B147"/>
    <mergeCell ref="A148:B148"/>
    <mergeCell ref="A149:B149"/>
    <mergeCell ref="A150:B150"/>
    <mergeCell ref="A151:B151"/>
    <mergeCell ref="A144:B144"/>
    <mergeCell ref="A145:B145"/>
    <mergeCell ref="A134:B134"/>
    <mergeCell ref="A135:B135"/>
    <mergeCell ref="A136:B136"/>
    <mergeCell ref="A137:B137"/>
    <mergeCell ref="A138:B138"/>
    <mergeCell ref="A139:B139"/>
    <mergeCell ref="A128:B128"/>
    <mergeCell ref="A129:B129"/>
    <mergeCell ref="A130:B130"/>
    <mergeCell ref="A131:B131"/>
    <mergeCell ref="A132:B132"/>
    <mergeCell ref="A133:B133"/>
    <mergeCell ref="A122:B122"/>
    <mergeCell ref="A123:B123"/>
    <mergeCell ref="A124:B124"/>
    <mergeCell ref="A125:B125"/>
    <mergeCell ref="A126:B126"/>
    <mergeCell ref="A127:B127"/>
    <mergeCell ref="A118:B118"/>
    <mergeCell ref="A6:A7"/>
    <mergeCell ref="B6:B7"/>
    <mergeCell ref="A119:B119"/>
    <mergeCell ref="A120:B120"/>
    <mergeCell ref="A121:B121"/>
    <mergeCell ref="A116:B117"/>
    <mergeCell ref="A1:J1"/>
    <mergeCell ref="A2:J2"/>
    <mergeCell ref="A3:J3"/>
    <mergeCell ref="A114:J114"/>
    <mergeCell ref="A113:J113"/>
    <mergeCell ref="A112:J112"/>
  </mergeCells>
  <printOptions/>
  <pageMargins left="0.7874015748031497" right="0.7874015748031497" top="0.984251968503937" bottom="0.984251968503937" header="0.5118110236220472" footer="0.5118110236220472"/>
  <pageSetup horizontalDpi="300" verticalDpi="300" orientation="landscape" paperSize="9" scale="39" r:id="rId1"/>
  <colBreaks count="1" manualBreakCount="1">
    <brk id="10" max="201" man="1"/>
  </colBreaks>
</worksheet>
</file>

<file path=xl/worksheets/sheet20.xml><?xml version="1.0" encoding="utf-8"?>
<worksheet xmlns="http://schemas.openxmlformats.org/spreadsheetml/2006/main" xmlns:r="http://schemas.openxmlformats.org/officeDocument/2006/relationships">
  <dimension ref="A2:J18"/>
  <sheetViews>
    <sheetView zoomScalePageLayoutView="0" workbookViewId="0" topLeftCell="A1">
      <selection activeCell="A1" sqref="A1:J23"/>
    </sheetView>
  </sheetViews>
  <sheetFormatPr defaultColWidth="9.140625" defaultRowHeight="12.75"/>
  <cols>
    <col min="10" max="10" width="10.57421875" style="0" customWidth="1"/>
  </cols>
  <sheetData>
    <row r="2" spans="1:10" ht="12.75">
      <c r="A2" s="562" t="s">
        <v>1272</v>
      </c>
      <c r="B2" s="966" t="s">
        <v>1273</v>
      </c>
      <c r="C2" s="966"/>
      <c r="D2" s="966"/>
      <c r="E2" s="966" t="s">
        <v>1274</v>
      </c>
      <c r="F2" s="966"/>
      <c r="G2" s="966"/>
      <c r="H2" s="966" t="s">
        <v>1275</v>
      </c>
      <c r="I2" s="966"/>
      <c r="J2" s="966"/>
    </row>
    <row r="3" spans="1:10" ht="17.25">
      <c r="A3" s="534" t="s">
        <v>1276</v>
      </c>
      <c r="B3" s="534" t="s">
        <v>1277</v>
      </c>
      <c r="C3" s="535" t="s">
        <v>1278</v>
      </c>
      <c r="D3" s="534" t="s">
        <v>1279</v>
      </c>
      <c r="E3" s="507" t="s">
        <v>1280</v>
      </c>
      <c r="F3" s="507" t="s">
        <v>1281</v>
      </c>
      <c r="G3" s="507" t="s">
        <v>1282</v>
      </c>
      <c r="H3" s="507" t="s">
        <v>1283</v>
      </c>
      <c r="I3" s="507" t="s">
        <v>1278</v>
      </c>
      <c r="J3" s="507" t="s">
        <v>1284</v>
      </c>
    </row>
    <row r="4" spans="1:10" ht="12.75">
      <c r="A4" s="534" t="s">
        <v>1285</v>
      </c>
      <c r="B4" s="563">
        <v>6774070.24</v>
      </c>
      <c r="C4" s="509">
        <v>1.0824</v>
      </c>
      <c r="D4" s="563">
        <v>7332253.63</v>
      </c>
      <c r="E4" s="564">
        <v>6292524.32</v>
      </c>
      <c r="F4" s="516">
        <v>1.2307</v>
      </c>
      <c r="G4" s="564">
        <v>7744209.68</v>
      </c>
      <c r="H4" s="565">
        <v>7684648.03</v>
      </c>
      <c r="I4" s="507">
        <v>1.1925</v>
      </c>
      <c r="J4" s="565">
        <v>9163942.78</v>
      </c>
    </row>
    <row r="5" spans="1:10" ht="12.75">
      <c r="A5" s="534" t="s">
        <v>1286</v>
      </c>
      <c r="B5" s="563">
        <v>5734328.24</v>
      </c>
      <c r="C5" s="509">
        <v>1.0816</v>
      </c>
      <c r="D5" s="563">
        <v>6202249.42</v>
      </c>
      <c r="E5" s="564">
        <v>6820842.39</v>
      </c>
      <c r="F5" s="516">
        <v>1.2296</v>
      </c>
      <c r="G5" s="564">
        <v>8386907.8</v>
      </c>
      <c r="H5" s="565">
        <v>7036868.79</v>
      </c>
      <c r="I5" s="507">
        <v>1.1588</v>
      </c>
      <c r="J5" s="565">
        <v>8154323.55</v>
      </c>
    </row>
    <row r="6" spans="1:10" ht="12.75">
      <c r="A6" s="534" t="s">
        <v>1287</v>
      </c>
      <c r="B6" s="563">
        <v>5539022.9</v>
      </c>
      <c r="C6" s="509">
        <v>1.0683</v>
      </c>
      <c r="D6" s="563">
        <v>5917338.16</v>
      </c>
      <c r="E6" s="564">
        <v>6213800.25</v>
      </c>
      <c r="F6" s="516">
        <v>1.2295</v>
      </c>
      <c r="G6" s="564">
        <v>7639867.41</v>
      </c>
      <c r="H6" s="565">
        <v>6581483.84</v>
      </c>
      <c r="I6" s="507">
        <v>1.1282</v>
      </c>
      <c r="J6" s="565">
        <v>7425230.07</v>
      </c>
    </row>
    <row r="7" spans="1:10" ht="12.75">
      <c r="A7" s="534" t="s">
        <v>1288</v>
      </c>
      <c r="B7" s="563">
        <v>6474607.44</v>
      </c>
      <c r="C7" s="509">
        <v>1.057</v>
      </c>
      <c r="D7" s="563">
        <v>6843660.06</v>
      </c>
      <c r="E7" s="564">
        <v>4902872.76</v>
      </c>
      <c r="F7" s="516">
        <v>1.2097</v>
      </c>
      <c r="G7" s="564">
        <v>5931005.18</v>
      </c>
      <c r="H7" s="565">
        <v>6587206.87</v>
      </c>
      <c r="I7" s="507">
        <v>1.1043</v>
      </c>
      <c r="J7" s="565">
        <v>7274252.55</v>
      </c>
    </row>
    <row r="8" spans="1:10" ht="12.75">
      <c r="A8" s="534" t="s">
        <v>1289</v>
      </c>
      <c r="B8" s="563">
        <v>5774668.91</v>
      </c>
      <c r="C8" s="509">
        <v>1.0476</v>
      </c>
      <c r="D8" s="563">
        <v>6049543.15</v>
      </c>
      <c r="E8" s="564">
        <v>4757949.04</v>
      </c>
      <c r="F8" s="516">
        <v>1.2091</v>
      </c>
      <c r="G8" s="564">
        <v>5752836.18</v>
      </c>
      <c r="H8" s="565">
        <v>7086435.07</v>
      </c>
      <c r="I8" s="507">
        <v>1.0803</v>
      </c>
      <c r="J8" s="565">
        <v>7655475.81</v>
      </c>
    </row>
    <row r="9" spans="1:10" ht="12.75">
      <c r="A9" s="534" t="s">
        <v>1290</v>
      </c>
      <c r="B9" s="563">
        <v>5366978.75</v>
      </c>
      <c r="C9" s="509">
        <v>1.0434</v>
      </c>
      <c r="D9" s="563">
        <v>5599905.63</v>
      </c>
      <c r="E9" s="564">
        <v>4812362.93</v>
      </c>
      <c r="F9" s="516">
        <v>1.1963</v>
      </c>
      <c r="G9" s="564">
        <v>5757029.77</v>
      </c>
      <c r="H9" s="565">
        <v>6582172.53</v>
      </c>
      <c r="I9" s="507">
        <v>1.0448</v>
      </c>
      <c r="J9" s="565">
        <v>6877053.86</v>
      </c>
    </row>
    <row r="10" spans="1:10" ht="12.75">
      <c r="A10" s="534" t="s">
        <v>1291</v>
      </c>
      <c r="B10" s="563">
        <v>6269859.72</v>
      </c>
      <c r="C10" s="509">
        <v>1.0368</v>
      </c>
      <c r="D10" s="563">
        <v>6500590.56</v>
      </c>
      <c r="E10" s="564">
        <v>5590395.12</v>
      </c>
      <c r="F10" s="516">
        <v>1.1774</v>
      </c>
      <c r="G10" s="564">
        <v>6582131.21</v>
      </c>
      <c r="H10" s="565">
        <v>8801893.21</v>
      </c>
      <c r="I10" s="507">
        <v>1.0436</v>
      </c>
      <c r="J10" s="565">
        <v>9185655.75</v>
      </c>
    </row>
    <row r="11" spans="1:10" ht="12.75">
      <c r="A11" s="534" t="s">
        <v>1292</v>
      </c>
      <c r="B11" s="563">
        <v>5045193.29</v>
      </c>
      <c r="C11" s="509">
        <v>1.0368</v>
      </c>
      <c r="D11" s="563">
        <v>5230856.4</v>
      </c>
      <c r="E11" s="564">
        <v>5112566.93</v>
      </c>
      <c r="F11" s="516">
        <v>1.1505</v>
      </c>
      <c r="G11" s="564">
        <v>5882008.25</v>
      </c>
      <c r="H11" s="565">
        <v>7132167.2</v>
      </c>
      <c r="I11" s="507">
        <v>1.0287</v>
      </c>
      <c r="J11" s="565">
        <v>7336860.4</v>
      </c>
    </row>
    <row r="12" spans="1:10" ht="12.75">
      <c r="A12" s="534" t="s">
        <v>1293</v>
      </c>
      <c r="B12" s="563">
        <v>5150701.43</v>
      </c>
      <c r="C12" s="509">
        <v>1.0368</v>
      </c>
      <c r="D12" s="563">
        <v>5340247.24</v>
      </c>
      <c r="E12" s="564">
        <v>5439098.81</v>
      </c>
      <c r="F12" s="516">
        <v>1.1076</v>
      </c>
      <c r="G12" s="564">
        <v>6024345.84</v>
      </c>
      <c r="H12" s="565">
        <v>6075997.57</v>
      </c>
      <c r="I12" s="507">
        <v>1.0287</v>
      </c>
      <c r="J12" s="565">
        <v>6250378.7</v>
      </c>
    </row>
    <row r="13" spans="1:10" ht="12.75">
      <c r="A13" s="534" t="s">
        <v>1294</v>
      </c>
      <c r="B13" s="563">
        <v>6012988.55</v>
      </c>
      <c r="C13" s="509">
        <v>1.0317</v>
      </c>
      <c r="D13" s="563">
        <v>6203600.29</v>
      </c>
      <c r="E13" s="564">
        <v>6333140.19</v>
      </c>
      <c r="F13" s="516">
        <v>1.0723</v>
      </c>
      <c r="G13" s="564">
        <v>6791026.23</v>
      </c>
      <c r="H13" s="565">
        <v>7713002.88</v>
      </c>
      <c r="I13" s="507">
        <v>1.0287</v>
      </c>
      <c r="J13" s="565">
        <v>7934366.06</v>
      </c>
    </row>
    <row r="14" spans="1:10" ht="12.75">
      <c r="A14" s="534" t="s">
        <v>1295</v>
      </c>
      <c r="B14" s="563">
        <v>5378030.5</v>
      </c>
      <c r="C14" s="509">
        <v>1.026</v>
      </c>
      <c r="D14" s="563">
        <v>5517859.29</v>
      </c>
      <c r="E14" s="564">
        <v>6192008.68</v>
      </c>
      <c r="F14" s="516">
        <v>1.0342</v>
      </c>
      <c r="G14" s="564">
        <v>6403775.38</v>
      </c>
      <c r="H14" s="565">
        <v>7924755.85</v>
      </c>
      <c r="I14" s="507">
        <v>1.0125</v>
      </c>
      <c r="J14" s="565">
        <v>8023815.3</v>
      </c>
    </row>
    <row r="15" spans="1:10" ht="12.75">
      <c r="A15" s="534" t="s">
        <v>1296</v>
      </c>
      <c r="B15" s="563">
        <v>10383452.91</v>
      </c>
      <c r="C15" s="509">
        <v>1.0174</v>
      </c>
      <c r="D15" s="563">
        <v>10564124.99</v>
      </c>
      <c r="E15" s="564">
        <v>9693102.03</v>
      </c>
      <c r="F15" s="516">
        <v>1.0076</v>
      </c>
      <c r="G15" s="564">
        <v>9766769.61</v>
      </c>
      <c r="H15" s="565">
        <v>11764653.04</v>
      </c>
      <c r="I15" s="507">
        <v>1.0125</v>
      </c>
      <c r="J15" s="565">
        <v>11911711.2</v>
      </c>
    </row>
    <row r="16" spans="1:10" ht="12.75">
      <c r="A16" s="566" t="s">
        <v>1297</v>
      </c>
      <c r="B16" s="567">
        <v>73903902.88</v>
      </c>
      <c r="C16" s="568"/>
      <c r="D16" s="567">
        <v>77302228.82</v>
      </c>
      <c r="E16" s="567">
        <v>72160663.45</v>
      </c>
      <c r="F16" s="568"/>
      <c r="G16" s="567">
        <v>82661912.54</v>
      </c>
      <c r="H16" s="567">
        <v>90971284.88</v>
      </c>
      <c r="I16" s="568"/>
      <c r="J16" s="567">
        <v>97193066.03</v>
      </c>
    </row>
    <row r="17" spans="1:10" ht="12.75">
      <c r="A17" s="967" t="s">
        <v>1298</v>
      </c>
      <c r="B17" s="967"/>
      <c r="C17" s="569">
        <v>0.07</v>
      </c>
      <c r="D17" s="563">
        <v>5411156.02</v>
      </c>
      <c r="E17" s="568"/>
      <c r="F17" s="570">
        <v>0.07</v>
      </c>
      <c r="G17" s="563">
        <v>5786333.88</v>
      </c>
      <c r="H17" s="509"/>
      <c r="I17" s="570">
        <v>0.07</v>
      </c>
      <c r="J17" s="563">
        <v>6803514.62</v>
      </c>
    </row>
    <row r="18" spans="1:10" ht="12.75">
      <c r="A18" s="571" t="s">
        <v>1299</v>
      </c>
      <c r="I18" s="572">
        <v>2023</v>
      </c>
      <c r="J18" s="573">
        <f>J16*I17</f>
        <v>6803514.6221</v>
      </c>
    </row>
  </sheetData>
  <sheetProtection/>
  <mergeCells count="4">
    <mergeCell ref="B2:D2"/>
    <mergeCell ref="E2:G2"/>
    <mergeCell ref="H2:J2"/>
    <mergeCell ref="A17:B17"/>
  </mergeCells>
  <printOptions/>
  <pageMargins left="0.511811024" right="0.511811024" top="0.787401575" bottom="0.787401575" header="0.31496062" footer="0.31496062"/>
  <pageSetup orientation="portrait" paperSize="9" r:id="rId1"/>
</worksheet>
</file>

<file path=xl/worksheets/sheet21.xml><?xml version="1.0" encoding="utf-8"?>
<worksheet xmlns="http://schemas.openxmlformats.org/spreadsheetml/2006/main" xmlns:r="http://schemas.openxmlformats.org/officeDocument/2006/relationships">
  <dimension ref="A2:K49"/>
  <sheetViews>
    <sheetView workbookViewId="0" topLeftCell="A22">
      <selection activeCell="K55" sqref="A1:K55"/>
    </sheetView>
  </sheetViews>
  <sheetFormatPr defaultColWidth="9.140625" defaultRowHeight="12.75"/>
  <cols>
    <col min="1" max="1" width="8.421875" style="574" customWidth="1"/>
    <col min="2" max="2" width="27.28125" style="574" customWidth="1"/>
    <col min="3" max="3" width="11.57421875" style="574" bestFit="1" customWidth="1"/>
    <col min="4" max="4" width="11.140625" style="574" customWidth="1"/>
    <col min="5" max="5" width="11.8515625" style="574" bestFit="1" customWidth="1"/>
    <col min="6" max="6" width="12.140625" style="574" bestFit="1" customWidth="1"/>
    <col min="7" max="7" width="11.140625" style="574" customWidth="1"/>
    <col min="8" max="8" width="11.7109375" style="574" bestFit="1" customWidth="1"/>
    <col min="9" max="9" width="11.421875" style="574" customWidth="1"/>
    <col min="10" max="10" width="4.57421875" style="574" customWidth="1"/>
    <col min="11" max="11" width="11.421875" style="574" customWidth="1"/>
    <col min="12" max="12" width="11.421875" style="574" bestFit="1" customWidth="1"/>
    <col min="13" max="16384" width="9.140625" style="574" customWidth="1"/>
  </cols>
  <sheetData>
    <row r="2" spans="10:11" ht="8.25">
      <c r="J2" s="574" t="s">
        <v>1300</v>
      </c>
      <c r="K2" s="574" t="s">
        <v>1301</v>
      </c>
    </row>
    <row r="3" spans="2:11" ht="8.25">
      <c r="B3" s="575" t="s">
        <v>1302</v>
      </c>
      <c r="J3" s="576" t="s">
        <v>1303</v>
      </c>
      <c r="K3" s="576" t="s">
        <v>1304</v>
      </c>
    </row>
    <row r="4" spans="10:11" ht="8.25">
      <c r="J4" s="576" t="s">
        <v>1305</v>
      </c>
      <c r="K4" s="576" t="s">
        <v>1305</v>
      </c>
    </row>
    <row r="5" spans="1:11" ht="24.75">
      <c r="A5" s="577" t="s">
        <v>1306</v>
      </c>
      <c r="B5" s="578" t="s">
        <v>1307</v>
      </c>
      <c r="C5" s="579">
        <v>2019</v>
      </c>
      <c r="D5" s="579">
        <v>2020</v>
      </c>
      <c r="E5" s="579">
        <v>2021</v>
      </c>
      <c r="F5" s="578" t="s">
        <v>1308</v>
      </c>
      <c r="G5" s="580" t="s">
        <v>1309</v>
      </c>
      <c r="H5" s="578" t="s">
        <v>1310</v>
      </c>
      <c r="I5" s="578" t="s">
        <v>1311</v>
      </c>
      <c r="J5" s="578" t="s">
        <v>1312</v>
      </c>
      <c r="K5" s="581">
        <v>2023</v>
      </c>
    </row>
    <row r="6" spans="1:11" ht="8.25">
      <c r="A6" s="582" t="s">
        <v>1313</v>
      </c>
      <c r="B6" s="583" t="s">
        <v>1314</v>
      </c>
      <c r="C6" s="584">
        <v>2980342.85</v>
      </c>
      <c r="D6" s="585">
        <v>3559369.14</v>
      </c>
      <c r="E6" s="585">
        <v>3664813.66</v>
      </c>
      <c r="F6" s="586">
        <v>3855803.57</v>
      </c>
      <c r="G6" s="587">
        <f>2542817.9</f>
        <v>2542817.9</v>
      </c>
      <c r="H6" s="588">
        <f>G6</f>
        <v>2542817.9</v>
      </c>
      <c r="I6" s="587">
        <f>SUM(G6:H6)</f>
        <v>5085635.8</v>
      </c>
      <c r="J6" s="589">
        <f>((1+10.16%)*(1+1.8%))</f>
        <v>1.1214288</v>
      </c>
      <c r="K6" s="587">
        <f>I6*J6</f>
        <v>5703178.452431039</v>
      </c>
    </row>
    <row r="7" spans="1:11" ht="8.25">
      <c r="A7" s="582" t="s">
        <v>1315</v>
      </c>
      <c r="B7" s="583" t="s">
        <v>1316</v>
      </c>
      <c r="C7" s="584">
        <v>2969453.68</v>
      </c>
      <c r="D7" s="585">
        <v>1717986.15</v>
      </c>
      <c r="E7" s="585">
        <v>3921591.65</v>
      </c>
      <c r="F7" s="586">
        <f>3467839.35</f>
        <v>3467839.35</v>
      </c>
      <c r="G7" s="587">
        <f>1510456.95</f>
        <v>1510456.95</v>
      </c>
      <c r="H7" s="588">
        <f aca="true" t="shared" si="0" ref="H7:H13">G7</f>
        <v>1510456.95</v>
      </c>
      <c r="I7" s="587">
        <f aca="true" t="shared" si="1" ref="I7:I33">SUM(G7:H7)</f>
        <v>3020913.9</v>
      </c>
      <c r="J7" s="589">
        <f aca="true" t="shared" si="2" ref="J7:J15">((1+10.16%)*(1+1.8%))</f>
        <v>1.1214288</v>
      </c>
      <c r="K7" s="587">
        <f aca="true" t="shared" si="3" ref="K7:K33">I7*J7</f>
        <v>3387739.8497803197</v>
      </c>
    </row>
    <row r="8" spans="1:11" ht="8.25">
      <c r="A8" s="582" t="s">
        <v>1317</v>
      </c>
      <c r="B8" s="583" t="s">
        <v>1318</v>
      </c>
      <c r="C8" s="584">
        <v>956926.54</v>
      </c>
      <c r="D8" s="585">
        <v>1024268.05</v>
      </c>
      <c r="E8" s="585">
        <v>1945055.63</v>
      </c>
      <c r="F8" s="586">
        <f>1378438.67</f>
        <v>1378438.67</v>
      </c>
      <c r="G8" s="587">
        <f>1076768.67</f>
        <v>1076768.67</v>
      </c>
      <c r="H8" s="588">
        <f t="shared" si="0"/>
        <v>1076768.67</v>
      </c>
      <c r="I8" s="587">
        <f t="shared" si="1"/>
        <v>2153537.34</v>
      </c>
      <c r="J8" s="589">
        <f>((1+10.16%)*(1+1.8%))</f>
        <v>1.1214288</v>
      </c>
      <c r="K8" s="587">
        <f t="shared" si="3"/>
        <v>2415038.7949513914</v>
      </c>
    </row>
    <row r="9" spans="1:11" ht="8.25">
      <c r="A9" s="582" t="s">
        <v>1315</v>
      </c>
      <c r="B9" s="583" t="s">
        <v>1319</v>
      </c>
      <c r="C9" s="584">
        <v>5085619.08</v>
      </c>
      <c r="D9" s="585">
        <v>3905252.39</v>
      </c>
      <c r="E9" s="585">
        <v>4395729.66</v>
      </c>
      <c r="F9" s="586">
        <f>5814310.6</f>
        <v>5814310.6</v>
      </c>
      <c r="G9" s="587">
        <f>3120520.45</f>
        <v>3120520.45</v>
      </c>
      <c r="H9" s="588">
        <f t="shared" si="0"/>
        <v>3120520.45</v>
      </c>
      <c r="I9" s="587">
        <f t="shared" si="1"/>
        <v>6241040.9</v>
      </c>
      <c r="J9" s="589">
        <f t="shared" si="2"/>
        <v>1.1214288</v>
      </c>
      <c r="K9" s="587">
        <f t="shared" si="3"/>
        <v>6998883.00723792</v>
      </c>
    </row>
    <row r="10" spans="1:11" ht="8.25">
      <c r="A10" s="582" t="s">
        <v>1320</v>
      </c>
      <c r="B10" s="583" t="s">
        <v>1321</v>
      </c>
      <c r="C10" s="584">
        <v>66025.85</v>
      </c>
      <c r="D10" s="585">
        <v>98786.29</v>
      </c>
      <c r="E10" s="585">
        <v>113976</v>
      </c>
      <c r="F10" s="585">
        <v>124804.75</v>
      </c>
      <c r="G10" s="587">
        <f>75912.55</f>
        <v>75912.55</v>
      </c>
      <c r="H10" s="588">
        <f t="shared" si="0"/>
        <v>75912.55</v>
      </c>
      <c r="I10" s="587">
        <f t="shared" si="1"/>
        <v>151825.1</v>
      </c>
      <c r="J10" s="589">
        <f t="shared" si="2"/>
        <v>1.1214288</v>
      </c>
      <c r="K10" s="587">
        <f t="shared" si="3"/>
        <v>170261.03970288</v>
      </c>
    </row>
    <row r="11" spans="1:11" ht="8.25">
      <c r="A11" s="582" t="s">
        <v>1322</v>
      </c>
      <c r="B11" s="583" t="s">
        <v>1323</v>
      </c>
      <c r="C11" s="584">
        <v>573792.81</v>
      </c>
      <c r="D11" s="585">
        <v>399353.23</v>
      </c>
      <c r="E11" s="585">
        <v>382870.27</v>
      </c>
      <c r="F11" s="585">
        <f>1508336.23-F10</f>
        <v>1383531.48</v>
      </c>
      <c r="G11" s="587">
        <f>435567.76-G10</f>
        <v>359655.21</v>
      </c>
      <c r="H11" s="588">
        <f t="shared" si="0"/>
        <v>359655.21</v>
      </c>
      <c r="I11" s="587">
        <f t="shared" si="1"/>
        <v>719310.42</v>
      </c>
      <c r="J11" s="589">
        <f t="shared" si="2"/>
        <v>1.1214288</v>
      </c>
      <c r="K11" s="587">
        <f t="shared" si="3"/>
        <v>806655.421128096</v>
      </c>
    </row>
    <row r="12" spans="1:11" ht="8.25">
      <c r="A12" s="582" t="s">
        <v>1324</v>
      </c>
      <c r="B12" s="583" t="s">
        <v>1325</v>
      </c>
      <c r="C12" s="590"/>
      <c r="D12" s="585">
        <v>50906.1</v>
      </c>
      <c r="E12" s="585">
        <v>70945.4</v>
      </c>
      <c r="F12" s="585">
        <v>79656.11</v>
      </c>
      <c r="G12" s="587">
        <v>22882.97</v>
      </c>
      <c r="H12" s="588">
        <f t="shared" si="0"/>
        <v>22882.97</v>
      </c>
      <c r="I12" s="587">
        <f t="shared" si="1"/>
        <v>45765.94</v>
      </c>
      <c r="J12" s="589">
        <f t="shared" si="2"/>
        <v>1.1214288</v>
      </c>
      <c r="K12" s="587">
        <f t="shared" si="3"/>
        <v>51323.243175072</v>
      </c>
    </row>
    <row r="13" spans="1:11" ht="8.25">
      <c r="A13" s="582" t="s">
        <v>1326</v>
      </c>
      <c r="B13" s="583" t="s">
        <v>198</v>
      </c>
      <c r="C13" s="584">
        <v>827.69</v>
      </c>
      <c r="D13" s="585">
        <v>1.34</v>
      </c>
      <c r="E13" s="585">
        <v>1977.81</v>
      </c>
      <c r="F13" s="585">
        <v>2042093.7</v>
      </c>
      <c r="G13" s="587">
        <f>0.08</f>
        <v>0.08</v>
      </c>
      <c r="H13" s="588">
        <f t="shared" si="0"/>
        <v>0.08</v>
      </c>
      <c r="I13" s="587">
        <f>SUM(G13:H13)</f>
        <v>0.16</v>
      </c>
      <c r="J13" s="589">
        <f t="shared" si="2"/>
        <v>1.1214288</v>
      </c>
      <c r="K13" s="587">
        <f t="shared" si="3"/>
        <v>0.179428608</v>
      </c>
    </row>
    <row r="14" spans="1:11" ht="16.5">
      <c r="A14" s="582" t="s">
        <v>1327</v>
      </c>
      <c r="B14" s="583" t="s">
        <v>1328</v>
      </c>
      <c r="C14" s="584">
        <v>886681.67</v>
      </c>
      <c r="D14" s="585">
        <v>929448.53</v>
      </c>
      <c r="E14" s="585">
        <v>1068484.37</v>
      </c>
      <c r="F14" s="585">
        <v>1163888.42</v>
      </c>
      <c r="G14" s="587">
        <v>572162.88</v>
      </c>
      <c r="H14" s="588">
        <f>G14</f>
        <v>572162.88</v>
      </c>
      <c r="I14" s="587">
        <f t="shared" si="1"/>
        <v>1144325.76</v>
      </c>
      <c r="J14" s="589">
        <f t="shared" si="2"/>
        <v>1.1214288</v>
      </c>
      <c r="K14" s="587">
        <f t="shared" si="3"/>
        <v>1283279.8638458878</v>
      </c>
    </row>
    <row r="15" spans="1:11" ht="8.25">
      <c r="A15" s="582" t="s">
        <v>1329</v>
      </c>
      <c r="B15" s="583" t="s">
        <v>1330</v>
      </c>
      <c r="C15" s="584"/>
      <c r="D15" s="585"/>
      <c r="E15" s="585"/>
      <c r="F15" s="585"/>
      <c r="G15" s="587">
        <f>378187.76</f>
        <v>378187.76</v>
      </c>
      <c r="H15" s="587">
        <v>94158.12</v>
      </c>
      <c r="I15" s="587">
        <f>H15</f>
        <v>94158.12</v>
      </c>
      <c r="J15" s="589">
        <f t="shared" si="2"/>
        <v>1.1214288</v>
      </c>
      <c r="K15" s="587">
        <f t="shared" si="3"/>
        <v>105591.62752185599</v>
      </c>
    </row>
    <row r="16" spans="1:11" ht="8.25">
      <c r="A16" s="582" t="s">
        <v>1331</v>
      </c>
      <c r="B16" s="583" t="s">
        <v>1332</v>
      </c>
      <c r="C16" s="584">
        <v>21432353.37</v>
      </c>
      <c r="D16" s="585">
        <v>20411396.53</v>
      </c>
      <c r="E16" s="585">
        <v>27519983.01</v>
      </c>
      <c r="F16" s="586">
        <f>28751945.22</f>
        <v>28751945.22</v>
      </c>
      <c r="G16" s="587">
        <f>19395549.99</f>
        <v>19395549.99</v>
      </c>
      <c r="H16" s="587">
        <f>(26519863/0.8)-G16</f>
        <v>13754278.760000002</v>
      </c>
      <c r="I16" s="587">
        <f aca="true" t="shared" si="4" ref="I16:I25">SUM(G16:H16)</f>
        <v>33149828.75</v>
      </c>
      <c r="J16" s="589">
        <f>((1+10.42%)*(1+1.8%))</f>
        <v>1.1240756</v>
      </c>
      <c r="K16" s="587">
        <f t="shared" si="3"/>
        <v>37262913.6420535</v>
      </c>
    </row>
    <row r="17" spans="1:11" ht="16.5">
      <c r="A17" s="582" t="s">
        <v>1333</v>
      </c>
      <c r="B17" s="583" t="s">
        <v>1334</v>
      </c>
      <c r="C17" s="584">
        <v>945849.4</v>
      </c>
      <c r="D17" s="585">
        <v>918520.38</v>
      </c>
      <c r="E17" s="585">
        <v>1206234.45</v>
      </c>
      <c r="F17" s="586">
        <f>1268281.42</f>
        <v>1268281.42</v>
      </c>
      <c r="G17" s="587"/>
      <c r="H17" s="587"/>
      <c r="I17" s="587">
        <f t="shared" si="4"/>
        <v>0</v>
      </c>
      <c r="J17" s="589">
        <f>((1+10.42%)*(1+1.8%))</f>
        <v>1.1240756</v>
      </c>
      <c r="K17" s="587">
        <f t="shared" si="3"/>
        <v>0</v>
      </c>
    </row>
    <row r="18" spans="1:11" ht="16.5">
      <c r="A18" s="582" t="s">
        <v>1335</v>
      </c>
      <c r="B18" s="583" t="s">
        <v>1336</v>
      </c>
      <c r="C18" s="584">
        <v>910904.68</v>
      </c>
      <c r="D18" s="585">
        <v>920478.67</v>
      </c>
      <c r="E18" s="585">
        <v>1065524.25</v>
      </c>
      <c r="F18" s="586">
        <f>1239869.25</f>
        <v>1239869.25</v>
      </c>
      <c r="G18" s="587">
        <v>1409602.7</v>
      </c>
      <c r="H18" s="587"/>
      <c r="I18" s="587">
        <f t="shared" si="4"/>
        <v>1409602.7</v>
      </c>
      <c r="J18" s="589">
        <f aca="true" t="shared" si="5" ref="J18:J33">((1+10.42%)*(1+1.8%))</f>
        <v>1.1240756</v>
      </c>
      <c r="K18" s="587">
        <f t="shared" si="3"/>
        <v>1584500.0007641201</v>
      </c>
    </row>
    <row r="19" spans="1:11" ht="8.25">
      <c r="A19" s="582" t="s">
        <v>1337</v>
      </c>
      <c r="B19" s="583" t="s">
        <v>1338</v>
      </c>
      <c r="C19" s="584">
        <v>868155.49</v>
      </c>
      <c r="D19" s="585">
        <v>1001960.63</v>
      </c>
      <c r="E19" s="585">
        <v>1144155.65</v>
      </c>
      <c r="F19" s="586">
        <f>951759.41+237939.85</f>
        <v>1189699.26</v>
      </c>
      <c r="G19" s="587">
        <f>42943.5+3578.82+10735.82+14314.5</f>
        <v>71572.64</v>
      </c>
      <c r="H19" s="587">
        <f>(G19/7)*5</f>
        <v>51123.31428571429</v>
      </c>
      <c r="I19" s="587">
        <f t="shared" si="4"/>
        <v>122695.95428571428</v>
      </c>
      <c r="J19" s="589">
        <f t="shared" si="5"/>
        <v>1.1240756</v>
      </c>
      <c r="K19" s="587">
        <f t="shared" si="3"/>
        <v>137919.52843128686</v>
      </c>
    </row>
    <row r="20" spans="1:11" ht="8.25">
      <c r="A20" s="582"/>
      <c r="B20" s="583" t="s">
        <v>1339</v>
      </c>
      <c r="C20" s="584">
        <v>85325.28</v>
      </c>
      <c r="D20" s="585">
        <v>210112.6</v>
      </c>
      <c r="E20" s="585">
        <v>262599.38</v>
      </c>
      <c r="F20" s="586">
        <v>276668.59</v>
      </c>
      <c r="G20" s="587">
        <f>168172.42</f>
        <v>168172.42</v>
      </c>
      <c r="H20" s="587">
        <f>(G20/7)*5</f>
        <v>120123.15714285715</v>
      </c>
      <c r="I20" s="587">
        <f t="shared" si="4"/>
        <v>288295.57714285713</v>
      </c>
      <c r="J20" s="589">
        <f t="shared" si="5"/>
        <v>1.1240756</v>
      </c>
      <c r="K20" s="587">
        <f t="shared" si="3"/>
        <v>324066.0238542034</v>
      </c>
    </row>
    <row r="21" spans="1:11" ht="8.25">
      <c r="A21" s="582"/>
      <c r="B21" s="583" t="s">
        <v>1340</v>
      </c>
      <c r="C21" s="584">
        <f>330227.61</f>
        <v>330227.61</v>
      </c>
      <c r="D21" s="585">
        <v>328396.96</v>
      </c>
      <c r="E21" s="585">
        <v>531975.71</v>
      </c>
      <c r="F21" s="586">
        <v>424723.11</v>
      </c>
      <c r="G21" s="587">
        <v>390429.72</v>
      </c>
      <c r="H21" s="587"/>
      <c r="I21" s="587">
        <f t="shared" si="4"/>
        <v>390429.72</v>
      </c>
      <c r="J21" s="589">
        <f t="shared" si="5"/>
        <v>1.1240756</v>
      </c>
      <c r="K21" s="587">
        <f t="shared" si="3"/>
        <v>438872.521766832</v>
      </c>
    </row>
    <row r="22" spans="1:11" ht="8.25">
      <c r="A22" s="582"/>
      <c r="B22" s="583" t="s">
        <v>1341</v>
      </c>
      <c r="C22" s="584">
        <v>4342374.56</v>
      </c>
      <c r="D22" s="585">
        <v>6507275.02</v>
      </c>
      <c r="E22" s="585">
        <v>6008251.29</v>
      </c>
      <c r="F22" s="586">
        <v>5095452.28</v>
      </c>
      <c r="G22" s="587">
        <v>3086705.5</v>
      </c>
      <c r="H22" s="587"/>
      <c r="I22" s="587">
        <f t="shared" si="4"/>
        <v>3086705.5</v>
      </c>
      <c r="J22" s="589">
        <f t="shared" si="5"/>
        <v>1.1240756</v>
      </c>
      <c r="K22" s="587">
        <f t="shared" si="3"/>
        <v>3469690.3369358</v>
      </c>
    </row>
    <row r="23" spans="1:11" ht="8.25">
      <c r="A23" s="582" t="s">
        <v>1342</v>
      </c>
      <c r="B23" s="583" t="s">
        <v>1343</v>
      </c>
      <c r="C23" s="584">
        <f>1376116.26</f>
        <v>1376116.26</v>
      </c>
      <c r="D23" s="585">
        <v>1339757.92</v>
      </c>
      <c r="E23" s="585">
        <v>1578962.83</v>
      </c>
      <c r="F23" s="586">
        <v>1879759.72</v>
      </c>
      <c r="G23" s="587">
        <v>1149267.76</v>
      </c>
      <c r="H23" s="587">
        <f>1923521-G23</f>
        <v>774253.24</v>
      </c>
      <c r="I23" s="587">
        <f t="shared" si="4"/>
        <v>1923521</v>
      </c>
      <c r="J23" s="589">
        <f t="shared" si="5"/>
        <v>1.1240756</v>
      </c>
      <c r="K23" s="587">
        <f t="shared" si="3"/>
        <v>2162183.0221876</v>
      </c>
    </row>
    <row r="24" spans="1:11" ht="8.25">
      <c r="A24" s="582"/>
      <c r="B24" s="583" t="s">
        <v>1344</v>
      </c>
      <c r="C24" s="584">
        <v>442717.6</v>
      </c>
      <c r="D24" s="585">
        <v>528409.2</v>
      </c>
      <c r="E24" s="585">
        <v>429304</v>
      </c>
      <c r="F24" s="586">
        <v>708428.8</v>
      </c>
      <c r="G24" s="587">
        <v>219771</v>
      </c>
      <c r="H24" s="587"/>
      <c r="I24" s="587">
        <f t="shared" si="4"/>
        <v>219771</v>
      </c>
      <c r="J24" s="589">
        <f t="shared" si="5"/>
        <v>1.1240756</v>
      </c>
      <c r="K24" s="587">
        <f t="shared" si="3"/>
        <v>247039.21868760002</v>
      </c>
    </row>
    <row r="25" spans="1:11" ht="8.25">
      <c r="A25" s="582"/>
      <c r="B25" s="583" t="s">
        <v>1345</v>
      </c>
      <c r="C25" s="584">
        <v>637131.24</v>
      </c>
      <c r="D25" s="585">
        <v>1263051.71</v>
      </c>
      <c r="E25" s="585">
        <v>348875.6</v>
      </c>
      <c r="F25" s="586">
        <v>665444.97</v>
      </c>
      <c r="G25" s="587">
        <v>221958.6</v>
      </c>
      <c r="H25" s="587">
        <f>(G25/7)*5</f>
        <v>158541.85714285716</v>
      </c>
      <c r="I25" s="587">
        <f t="shared" si="4"/>
        <v>380500.45714285714</v>
      </c>
      <c r="J25" s="589">
        <f t="shared" si="5"/>
        <v>1.1240756</v>
      </c>
      <c r="K25" s="587">
        <f t="shared" si="3"/>
        <v>427711.27966313146</v>
      </c>
    </row>
    <row r="26" spans="1:11" ht="16.5">
      <c r="A26" s="591" t="s">
        <v>1346</v>
      </c>
      <c r="B26" s="592" t="s">
        <v>1347</v>
      </c>
      <c r="C26" s="590"/>
      <c r="D26" s="585">
        <v>302473.68</v>
      </c>
      <c r="E26" s="585"/>
      <c r="F26" s="585"/>
      <c r="G26" s="587"/>
      <c r="H26" s="587"/>
      <c r="I26" s="587">
        <f t="shared" si="1"/>
        <v>0</v>
      </c>
      <c r="J26" s="589">
        <f t="shared" si="5"/>
        <v>1.1240756</v>
      </c>
      <c r="K26" s="587">
        <f t="shared" si="3"/>
        <v>0</v>
      </c>
    </row>
    <row r="27" spans="1:11" ht="8.25">
      <c r="A27" s="582" t="s">
        <v>1348</v>
      </c>
      <c r="B27" s="583" t="s">
        <v>262</v>
      </c>
      <c r="C27" s="584">
        <v>29256225.41</v>
      </c>
      <c r="D27" s="585">
        <v>29634146.64</v>
      </c>
      <c r="E27" s="585">
        <v>36413632.58</v>
      </c>
      <c r="F27" s="586">
        <f>22948077.82+1912339.82+5737019.45+7649359.27</f>
        <v>38246796.36</v>
      </c>
      <c r="G27" s="587">
        <f>9985738.6+832144.92+2496434.7+3327171.82</f>
        <v>16641490.04</v>
      </c>
      <c r="H27" s="587">
        <f>(25999026/0.8)-G27</f>
        <v>15857292.46</v>
      </c>
      <c r="I27" s="587">
        <f>SUM(G27:H27)</f>
        <v>32498782.5</v>
      </c>
      <c r="J27" s="589">
        <f t="shared" si="5"/>
        <v>1.1240756</v>
      </c>
      <c r="K27" s="587">
        <f t="shared" si="3"/>
        <v>36531088.437957</v>
      </c>
    </row>
    <row r="28" spans="1:11" ht="8.25">
      <c r="A28" s="582" t="s">
        <v>1349</v>
      </c>
      <c r="B28" s="583" t="s">
        <v>266</v>
      </c>
      <c r="C28" s="584">
        <v>2925795.18</v>
      </c>
      <c r="D28" s="585">
        <v>3045975.56</v>
      </c>
      <c r="E28" s="585">
        <v>3675529.43</v>
      </c>
      <c r="F28" s="586">
        <f>3902843.86</f>
        <v>3902843.86</v>
      </c>
      <c r="G28" s="587">
        <f>1662828.08+138569.18+415707.1+554276.16</f>
        <v>2771380.52</v>
      </c>
      <c r="H28" s="587">
        <v>3454307</v>
      </c>
      <c r="I28" s="587">
        <f t="shared" si="1"/>
        <v>6225687.52</v>
      </c>
      <c r="J28" s="589">
        <f t="shared" si="5"/>
        <v>1.1240756</v>
      </c>
      <c r="K28" s="587">
        <f t="shared" si="3"/>
        <v>6998143.434456512</v>
      </c>
    </row>
    <row r="29" spans="1:11" ht="8.25">
      <c r="A29" s="582" t="s">
        <v>1350</v>
      </c>
      <c r="B29" s="583" t="s">
        <v>1351</v>
      </c>
      <c r="C29" s="584">
        <v>433275.4</v>
      </c>
      <c r="D29" s="585">
        <v>422067.07</v>
      </c>
      <c r="E29" s="585">
        <v>392734.99</v>
      </c>
      <c r="F29" s="586">
        <f>561182.43</f>
        <v>561182.43</v>
      </c>
      <c r="G29" s="587">
        <f>104632.92+8719.42+26158.24+34877.67</f>
        <v>174388.25</v>
      </c>
      <c r="H29" s="587">
        <f>(346117/0.8)-G29</f>
        <v>258258</v>
      </c>
      <c r="I29" s="587">
        <f t="shared" si="1"/>
        <v>432646.25</v>
      </c>
      <c r="J29" s="589">
        <f t="shared" si="5"/>
        <v>1.1240756</v>
      </c>
      <c r="K29" s="587">
        <f t="shared" si="3"/>
        <v>486327.0930565</v>
      </c>
    </row>
    <row r="30" spans="1:11" ht="8.25">
      <c r="A30" s="582"/>
      <c r="B30" s="583" t="s">
        <v>1352</v>
      </c>
      <c r="C30" s="584">
        <v>81486.44</v>
      </c>
      <c r="D30" s="585">
        <v>22514.04</v>
      </c>
      <c r="E30" s="585">
        <v>5785.84</v>
      </c>
      <c r="F30" s="586">
        <v>71723.11</v>
      </c>
      <c r="G30" s="587">
        <v>13886.72</v>
      </c>
      <c r="H30" s="587">
        <f>G30</f>
        <v>13886.72</v>
      </c>
      <c r="I30" s="587">
        <f t="shared" si="1"/>
        <v>27773.44</v>
      </c>
      <c r="J30" s="589">
        <f t="shared" si="5"/>
        <v>1.1240756</v>
      </c>
      <c r="K30" s="587">
        <f t="shared" si="3"/>
        <v>31219.446232064</v>
      </c>
    </row>
    <row r="31" spans="1:11" ht="8.25">
      <c r="A31" s="582"/>
      <c r="B31" s="583" t="s">
        <v>1353</v>
      </c>
      <c r="C31" s="584">
        <f>889192.79</f>
        <v>889192.79</v>
      </c>
      <c r="D31" s="585">
        <v>1911611.68</v>
      </c>
      <c r="E31" s="585">
        <v>2667057.08</v>
      </c>
      <c r="F31" s="586">
        <v>1527948.7</v>
      </c>
      <c r="G31" s="587">
        <v>860157.53</v>
      </c>
      <c r="H31" s="587">
        <f>F31-G31</f>
        <v>667791.1699999999</v>
      </c>
      <c r="I31" s="587">
        <f t="shared" si="1"/>
        <v>1527948.7</v>
      </c>
      <c r="J31" s="589">
        <f t="shared" si="5"/>
        <v>1.1240756</v>
      </c>
      <c r="K31" s="587">
        <f t="shared" si="3"/>
        <v>1717529.85172172</v>
      </c>
    </row>
    <row r="32" spans="1:11" ht="8.25">
      <c r="A32" s="582"/>
      <c r="B32" s="583" t="s">
        <v>1354</v>
      </c>
      <c r="C32" s="584">
        <v>2173599.63</v>
      </c>
      <c r="D32" s="585">
        <v>1002857.42</v>
      </c>
      <c r="E32" s="585">
        <v>1070292.36</v>
      </c>
      <c r="F32" s="586">
        <v>2165332.54</v>
      </c>
      <c r="G32" s="587">
        <v>1349403.33</v>
      </c>
      <c r="H32" s="587"/>
      <c r="I32" s="587">
        <f t="shared" si="1"/>
        <v>1349403.33</v>
      </c>
      <c r="J32" s="589">
        <f t="shared" si="5"/>
        <v>1.1240756</v>
      </c>
      <c r="K32" s="587">
        <f t="shared" si="3"/>
        <v>1516831.3578117483</v>
      </c>
    </row>
    <row r="33" spans="1:11" ht="16.5">
      <c r="A33" s="582" t="s">
        <v>1355</v>
      </c>
      <c r="B33" s="583" t="s">
        <v>1356</v>
      </c>
      <c r="C33" s="584">
        <v>33355.36</v>
      </c>
      <c r="D33" s="585">
        <v>28057.92</v>
      </c>
      <c r="E33" s="585">
        <v>17997.78</v>
      </c>
      <c r="F33" s="585">
        <v>113709.76</v>
      </c>
      <c r="G33" s="587">
        <v>26061.79</v>
      </c>
      <c r="H33" s="587">
        <f>G33</f>
        <v>26061.79</v>
      </c>
      <c r="I33" s="587">
        <f t="shared" si="1"/>
        <v>52123.58</v>
      </c>
      <c r="J33" s="589">
        <f t="shared" si="5"/>
        <v>1.1240756</v>
      </c>
      <c r="K33" s="587">
        <f t="shared" si="3"/>
        <v>58590.844462648005</v>
      </c>
    </row>
    <row r="34" spans="1:11" ht="8.25">
      <c r="A34" s="582" t="s">
        <v>1357</v>
      </c>
      <c r="B34" s="583" t="s">
        <v>1358</v>
      </c>
      <c r="C34" s="584">
        <v>18421204.78</v>
      </c>
      <c r="D34" s="585">
        <v>20113480.93</v>
      </c>
      <c r="E34" s="585">
        <v>26879636.73</v>
      </c>
      <c r="F34" s="586">
        <v>27814454.81</v>
      </c>
      <c r="G34" s="587">
        <f>19127198.03</f>
        <v>19127198.03</v>
      </c>
      <c r="H34" s="587">
        <f>32055383.1-G34</f>
        <v>12928185.07</v>
      </c>
      <c r="I34" s="587">
        <f>SUM(G34:H34)</f>
        <v>32055383.1</v>
      </c>
      <c r="J34" s="589">
        <f>((1+10.42%)*(1+1.8%))</f>
        <v>1.1240756</v>
      </c>
      <c r="K34" s="587">
        <f>I34*J34</f>
        <v>36032673.99136236</v>
      </c>
    </row>
    <row r="35" spans="1:11" ht="8.25">
      <c r="A35" s="593"/>
      <c r="B35" s="594" t="s">
        <v>1359</v>
      </c>
      <c r="C35" s="595">
        <f aca="true" t="shared" si="6" ref="C35:I35">SUM(C6:C34)</f>
        <v>99104960.65000002</v>
      </c>
      <c r="D35" s="595">
        <f t="shared" si="6"/>
        <v>101597915.78000003</v>
      </c>
      <c r="E35" s="595">
        <f t="shared" si="6"/>
        <v>126783977.41000003</v>
      </c>
      <c r="F35" s="596">
        <f t="shared" si="6"/>
        <v>135214630.84</v>
      </c>
      <c r="G35" s="595">
        <f t="shared" si="6"/>
        <v>76736361.96000001</v>
      </c>
      <c r="H35" s="595">
        <f t="shared" si="6"/>
        <v>57439438.31857143</v>
      </c>
      <c r="I35" s="595">
        <f t="shared" si="6"/>
        <v>133797612.51857144</v>
      </c>
      <c r="J35" s="595"/>
      <c r="K35" s="595">
        <f>SUM(K6:K34)</f>
        <v>150349251.51060772</v>
      </c>
    </row>
    <row r="36" spans="2:11" ht="8.25">
      <c r="B36" s="576" t="s">
        <v>1360</v>
      </c>
      <c r="D36" s="597">
        <f>((D35-C35)/C35)*100</f>
        <v>2.515469572511262</v>
      </c>
      <c r="E36" s="597">
        <f>((E35-D35)/D35)*100</f>
        <v>24.789939278417734</v>
      </c>
      <c r="F36" s="597">
        <f>((F35-E35)/E35)*100</f>
        <v>6.649620561071792</v>
      </c>
      <c r="G36" s="597"/>
      <c r="H36" s="597"/>
      <c r="I36" s="597">
        <f>((I35-F35)/F35)*100</f>
        <v>-1.047977066257963</v>
      </c>
      <c r="J36" s="597"/>
      <c r="K36" s="597">
        <f>((K35-I35)/I35)*100</f>
        <v>12.370653467182665</v>
      </c>
    </row>
    <row r="37" spans="6:10" ht="8.25">
      <c r="F37" s="598" t="s">
        <v>1361</v>
      </c>
      <c r="G37" s="599" t="s">
        <v>1362</v>
      </c>
      <c r="H37" s="599"/>
      <c r="I37" s="599" t="s">
        <v>1363</v>
      </c>
      <c r="J37" s="600"/>
    </row>
    <row r="38" spans="6:10" ht="8.25">
      <c r="F38" s="601">
        <v>2009</v>
      </c>
      <c r="G38" s="602">
        <v>3333039339</v>
      </c>
      <c r="I38" s="602">
        <v>204334940</v>
      </c>
      <c r="J38" s="603"/>
    </row>
    <row r="39" spans="6:10" ht="8.25">
      <c r="F39" s="601">
        <v>2010</v>
      </c>
      <c r="G39" s="602">
        <v>3885847000</v>
      </c>
      <c r="H39" s="597">
        <f>((G39-G38)/G38)*100</f>
        <v>16.585692659896925</v>
      </c>
      <c r="I39" s="602">
        <v>241249164</v>
      </c>
      <c r="J39" s="604">
        <f>((I39-I38)/I38)*100</f>
        <v>18.065546695048827</v>
      </c>
    </row>
    <row r="40" spans="6:10" ht="8.25">
      <c r="F40" s="601">
        <v>2011</v>
      </c>
      <c r="G40" s="602">
        <v>4376382000</v>
      </c>
      <c r="H40" s="597">
        <f aca="true" t="shared" si="7" ref="H40:J48">((G40-G39)/G39)*100</f>
        <v>12.623631347296998</v>
      </c>
      <c r="I40" s="602">
        <v>265056416</v>
      </c>
      <c r="J40" s="604">
        <f t="shared" si="7"/>
        <v>9.868325181014928</v>
      </c>
    </row>
    <row r="41" spans="6:10" ht="8.25">
      <c r="F41" s="601">
        <v>2012</v>
      </c>
      <c r="G41" s="602">
        <v>4814760000</v>
      </c>
      <c r="H41" s="597">
        <f t="shared" si="7"/>
        <v>10.016904374435322</v>
      </c>
      <c r="I41" s="602">
        <v>287587019</v>
      </c>
      <c r="J41" s="604">
        <f t="shared" si="7"/>
        <v>8.500304704942513</v>
      </c>
    </row>
    <row r="42" spans="6:10" ht="8.25">
      <c r="F42" s="601">
        <v>2013</v>
      </c>
      <c r="G42" s="602">
        <v>5331618957</v>
      </c>
      <c r="H42" s="597">
        <f t="shared" si="7"/>
        <v>10.734885165615731</v>
      </c>
      <c r="I42" s="602">
        <v>332292726</v>
      </c>
      <c r="J42" s="604">
        <f t="shared" si="7"/>
        <v>15.545106018849896</v>
      </c>
    </row>
    <row r="43" spans="6:10" ht="8.25">
      <c r="F43" s="601">
        <v>2014</v>
      </c>
      <c r="G43" s="602">
        <v>5778952780</v>
      </c>
      <c r="H43" s="597">
        <f t="shared" si="7"/>
        <v>8.390206175793669</v>
      </c>
      <c r="I43" s="602">
        <v>357816424</v>
      </c>
      <c r="J43" s="604">
        <f t="shared" si="7"/>
        <v>7.6810883907221</v>
      </c>
    </row>
    <row r="44" spans="6:10" ht="8.25">
      <c r="F44" s="601">
        <v>2015</v>
      </c>
      <c r="G44" s="602">
        <v>5995787000</v>
      </c>
      <c r="H44" s="597">
        <f t="shared" si="7"/>
        <v>3.75213690533045</v>
      </c>
      <c r="I44" s="602">
        <v>381992601</v>
      </c>
      <c r="J44" s="604">
        <f t="shared" si="7"/>
        <v>6.756586723922991</v>
      </c>
    </row>
    <row r="45" spans="6:10" ht="8.25">
      <c r="F45" s="601">
        <v>2016</v>
      </c>
      <c r="G45" s="602">
        <v>6269328000</v>
      </c>
      <c r="H45" s="597">
        <f t="shared" si="7"/>
        <v>4.5622201055507805</v>
      </c>
      <c r="I45" s="602">
        <v>408789528</v>
      </c>
      <c r="J45" s="604">
        <f t="shared" si="7"/>
        <v>7.015038231067727</v>
      </c>
    </row>
    <row r="46" spans="6:10" ht="8.25">
      <c r="F46" s="601">
        <v>2017</v>
      </c>
      <c r="G46" s="602">
        <v>6583319000</v>
      </c>
      <c r="H46" s="597">
        <f t="shared" si="7"/>
        <v>5.008367722984026</v>
      </c>
      <c r="I46" s="602">
        <v>423150937</v>
      </c>
      <c r="J46" s="604">
        <f t="shared" si="7"/>
        <v>3.513154818388596</v>
      </c>
    </row>
    <row r="47" spans="6:10" ht="8.25">
      <c r="F47" s="601">
        <v>2018</v>
      </c>
      <c r="G47" s="602">
        <v>7004141000</v>
      </c>
      <c r="H47" s="597">
        <f t="shared" si="7"/>
        <v>6.392246828689298</v>
      </c>
      <c r="I47" s="602">
        <v>457293958</v>
      </c>
      <c r="J47" s="604">
        <f t="shared" si="7"/>
        <v>8.068757035506694</v>
      </c>
    </row>
    <row r="48" spans="6:10" ht="8.25">
      <c r="F48" s="601">
        <v>2019</v>
      </c>
      <c r="G48" s="602">
        <v>7389131000</v>
      </c>
      <c r="H48" s="597">
        <f t="shared" si="7"/>
        <v>5.496605508084432</v>
      </c>
      <c r="I48" s="602">
        <v>482464177</v>
      </c>
      <c r="J48" s="604">
        <f t="shared" si="7"/>
        <v>5.5041660970294295</v>
      </c>
    </row>
    <row r="49" spans="6:10" ht="8.25">
      <c r="F49" s="605" t="s">
        <v>1364</v>
      </c>
      <c r="G49" s="606" t="s">
        <v>1365</v>
      </c>
      <c r="H49" s="606"/>
      <c r="I49" s="606"/>
      <c r="J49" s="607"/>
    </row>
  </sheetData>
  <sheetProtection/>
  <printOptions/>
  <pageMargins left="0.31496062992125984" right="0.31496062992125984" top="0.7874015748031497" bottom="0.7874015748031497"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E26"/>
  <sheetViews>
    <sheetView zoomScalePageLayoutView="0" workbookViewId="0" topLeftCell="A1">
      <selection activeCell="H28" sqref="H28"/>
    </sheetView>
  </sheetViews>
  <sheetFormatPr defaultColWidth="9.140625" defaultRowHeight="12.75"/>
  <cols>
    <col min="1" max="1" width="53.8515625" style="0" customWidth="1"/>
    <col min="2" max="2" width="16.140625" style="0" customWidth="1"/>
    <col min="3" max="3" width="16.28125" style="0" customWidth="1"/>
    <col min="4" max="4" width="15.28125" style="0" customWidth="1"/>
  </cols>
  <sheetData>
    <row r="1" spans="1:4" ht="12.75">
      <c r="A1" s="657" t="str">
        <f>Parâmetros!A7</f>
        <v>Município de : Caçapava do Sul / RS.</v>
      </c>
      <c r="B1" s="658"/>
      <c r="C1" s="658"/>
      <c r="D1" s="658"/>
    </row>
    <row r="2" spans="1:4" ht="12.75">
      <c r="A2" s="659" t="str">
        <f>Parâmetros!A8</f>
        <v>LEI DE DIRETRIZES ORÇAMENTÁRIAS  PARA 2023</v>
      </c>
      <c r="B2" s="658"/>
      <c r="C2" s="658"/>
      <c r="D2" s="658"/>
    </row>
    <row r="3" spans="1:4" ht="12.75">
      <c r="A3" s="660" t="s">
        <v>556</v>
      </c>
      <c r="B3" s="661"/>
      <c r="C3" s="661"/>
      <c r="D3" s="661"/>
    </row>
    <row r="4" spans="1:4" ht="12.75">
      <c r="A4" s="662" t="s">
        <v>609</v>
      </c>
      <c r="B4" s="663"/>
      <c r="C4" s="663"/>
      <c r="D4" s="663"/>
    </row>
    <row r="5" spans="1:4" ht="12.75">
      <c r="A5" s="103" t="s">
        <v>56</v>
      </c>
      <c r="B5" s="104">
        <f>Parâmetros!$E$10</f>
        <v>2023</v>
      </c>
      <c r="C5" s="104">
        <f>B5+1</f>
        <v>2024</v>
      </c>
      <c r="D5" s="104">
        <f>C5+1</f>
        <v>2025</v>
      </c>
    </row>
    <row r="6" spans="1:4" ht="12.75">
      <c r="A6" s="105" t="s">
        <v>364</v>
      </c>
      <c r="B6" s="106">
        <f>Projeções!H8</f>
        <v>171611465.18404654</v>
      </c>
      <c r="C6" s="106">
        <f>Projeções!I8</f>
        <v>177631351.28852195</v>
      </c>
      <c r="D6" s="106">
        <f>Projeções!J8</f>
        <v>184319420.9041011</v>
      </c>
    </row>
    <row r="7" spans="1:4" ht="12.75">
      <c r="A7" s="107" t="s">
        <v>361</v>
      </c>
      <c r="B7" s="108"/>
      <c r="C7" s="108"/>
      <c r="D7" s="108"/>
    </row>
    <row r="8" spans="1:4" ht="12.75">
      <c r="A8" s="109" t="s">
        <v>362</v>
      </c>
      <c r="B8" s="110">
        <f>Projeções!H17</f>
        <v>6499787.945483768</v>
      </c>
      <c r="C8" s="110">
        <f>Projeções!I17</f>
        <v>7206717.049660712</v>
      </c>
      <c r="D8" s="110">
        <f>Projeções!J17</f>
        <v>7916641.9948956715</v>
      </c>
    </row>
    <row r="9" spans="1:4" ht="12.75">
      <c r="A9" s="111" t="s">
        <v>363</v>
      </c>
      <c r="B9" s="110">
        <f>Projeções!H73</f>
        <v>1936900.6113820698</v>
      </c>
      <c r="C9" s="110">
        <f>Projeções!I73</f>
        <v>1998881.430946296</v>
      </c>
      <c r="D9" s="110">
        <f>Projeções!J73</f>
        <v>2058847.873874685</v>
      </c>
    </row>
    <row r="10" spans="1:4" ht="12.75">
      <c r="A10" s="111" t="s">
        <v>373</v>
      </c>
      <c r="B10" s="110">
        <f>Projeções!H28</f>
        <v>3019335.2105439464</v>
      </c>
      <c r="C10" s="110">
        <f>Projeções!I28</f>
        <v>3178273.0160269802</v>
      </c>
      <c r="D10" s="110">
        <f>Projeções!J28</f>
        <v>3339093.6306379456</v>
      </c>
    </row>
    <row r="11" spans="1:4" ht="12.75">
      <c r="A11" s="109" t="s">
        <v>370</v>
      </c>
      <c r="B11" s="110">
        <f>-(Projeções!H105+Projeções!H106+Projeções!H107)</f>
        <v>16894133.983613066</v>
      </c>
      <c r="C11" s="110">
        <f>-(Projeções!I105+Projeções!I106+Projeções!I107)</f>
        <v>17302911.984508164</v>
      </c>
      <c r="D11" s="110">
        <f>-(Projeções!J105+Projeções!J106+Projeções!J107)</f>
        <v>17740136.18286858</v>
      </c>
    </row>
    <row r="12" spans="1:4" ht="12.75">
      <c r="A12" s="109" t="s">
        <v>610</v>
      </c>
      <c r="B12" s="350">
        <v>0</v>
      </c>
      <c r="C12" s="106">
        <f>B12*(1+Parâmetros!F11)</f>
        <v>0</v>
      </c>
      <c r="D12" s="106">
        <f>C12*(1+Parâmetros!G11)</f>
        <v>0</v>
      </c>
    </row>
    <row r="13" spans="1:4" ht="12.75">
      <c r="A13" s="303" t="s">
        <v>557</v>
      </c>
      <c r="B13" s="106">
        <f>B6-B8-B9-B10-B11-B12</f>
        <v>143261307.43302366</v>
      </c>
      <c r="C13" s="106">
        <f>C6-C8-C9-C10-C11-C12</f>
        <v>147944567.8073798</v>
      </c>
      <c r="D13" s="106">
        <f>D6-D8-D9-D10-D11-D12</f>
        <v>153264701.22182423</v>
      </c>
    </row>
    <row r="14" spans="1:4" ht="38.25">
      <c r="A14" s="351" t="s">
        <v>632</v>
      </c>
      <c r="B14" s="349">
        <v>0</v>
      </c>
      <c r="C14" s="106">
        <f>B14*(1+Parâmetros!F11)</f>
        <v>0</v>
      </c>
      <c r="D14" s="106">
        <f>C14*(1+Parâmetros!G11)</f>
        <v>0</v>
      </c>
    </row>
    <row r="15" spans="1:4" ht="12.75">
      <c r="A15" s="303" t="s">
        <v>611</v>
      </c>
      <c r="B15" s="106">
        <f>B13-B14</f>
        <v>143261307.43302366</v>
      </c>
      <c r="C15" s="106">
        <f>C13-C14</f>
        <v>147944567.8073798</v>
      </c>
      <c r="D15" s="106">
        <f>D13-D14</f>
        <v>153264701.22182423</v>
      </c>
    </row>
    <row r="16" spans="1:4" ht="38.25">
      <c r="A16" s="351" t="s">
        <v>633</v>
      </c>
      <c r="B16" s="349">
        <v>0</v>
      </c>
      <c r="C16" s="106">
        <f>B16*(1+Parâmetros!F11)</f>
        <v>0</v>
      </c>
      <c r="D16" s="106">
        <f>C16*(1+Parâmetros!G11)</f>
        <v>0</v>
      </c>
    </row>
    <row r="17" spans="1:4" ht="12.75">
      <c r="A17" s="303" t="s">
        <v>612</v>
      </c>
      <c r="B17" s="106">
        <f>B15-B16</f>
        <v>143261307.43302366</v>
      </c>
      <c r="C17" s="106">
        <f>C15-C16</f>
        <v>147944567.8073798</v>
      </c>
      <c r="D17" s="106">
        <f>D15-D16</f>
        <v>153264701.22182423</v>
      </c>
    </row>
    <row r="21" ht="12.75">
      <c r="A21" s="302"/>
    </row>
    <row r="23" spans="1:5" ht="15.75">
      <c r="A23" s="433"/>
      <c r="B23" s="5"/>
      <c r="C23" s="433"/>
      <c r="D23" s="5"/>
      <c r="E23" s="433"/>
    </row>
    <row r="24" spans="1:5" ht="15.75">
      <c r="A24" s="432" t="s">
        <v>656</v>
      </c>
      <c r="B24" s="1"/>
      <c r="C24" s="432" t="s">
        <v>653</v>
      </c>
      <c r="D24" s="11"/>
      <c r="E24" s="432" t="s">
        <v>654</v>
      </c>
    </row>
    <row r="25" spans="1:5" ht="15.75">
      <c r="A25" s="432" t="s">
        <v>662</v>
      </c>
      <c r="B25" s="1"/>
      <c r="C25" s="432" t="s">
        <v>657</v>
      </c>
      <c r="D25" s="11"/>
      <c r="E25" s="432" t="s">
        <v>661</v>
      </c>
    </row>
    <row r="26" spans="1:5" ht="15.75">
      <c r="A26" s="432" t="s">
        <v>658</v>
      </c>
      <c r="B26" s="1"/>
      <c r="C26" s="432" t="s">
        <v>659</v>
      </c>
      <c r="D26" s="11"/>
      <c r="E26" s="432" t="s">
        <v>660</v>
      </c>
    </row>
  </sheetData>
  <sheetProtection/>
  <mergeCells count="4">
    <mergeCell ref="A1:D1"/>
    <mergeCell ref="A2:D2"/>
    <mergeCell ref="A3:D3"/>
    <mergeCell ref="A4:D4"/>
  </mergeCells>
  <printOptions/>
  <pageMargins left="0.511811024" right="0.511811024" top="0.787401575" bottom="0.787401575" header="0.31496062" footer="0.3149606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08"/>
  <sheetViews>
    <sheetView tabSelected="1" zoomScalePageLayoutView="0" workbookViewId="0" topLeftCell="A81">
      <selection activeCell="B21" sqref="B21"/>
    </sheetView>
  </sheetViews>
  <sheetFormatPr defaultColWidth="9.140625" defaultRowHeight="12.75"/>
  <cols>
    <col min="1" max="1" width="15.57421875" style="0" bestFit="1" customWidth="1"/>
    <col min="2" max="2" width="48.7109375" style="0" bestFit="1" customWidth="1"/>
    <col min="3" max="3" width="18.00390625" style="968" bestFit="1" customWidth="1"/>
    <col min="4" max="4" width="9.28125" style="0" customWidth="1"/>
    <col min="5" max="5" width="4.7109375" style="0" bestFit="1" customWidth="1"/>
    <col min="6" max="6" width="34.7109375" style="0" bestFit="1" customWidth="1"/>
    <col min="7" max="7" width="15.00390625" style="483" bestFit="1" customWidth="1"/>
  </cols>
  <sheetData>
    <row r="1" ht="12.75">
      <c r="A1" t="s">
        <v>1373</v>
      </c>
    </row>
    <row r="2" spans="1:7" s="7" customFormat="1" ht="12.75">
      <c r="A2" s="7" t="s">
        <v>1374</v>
      </c>
      <c r="C2" s="969" t="s">
        <v>1375</v>
      </c>
      <c r="G2" s="970"/>
    </row>
    <row r="3" spans="1:3" ht="12.75">
      <c r="A3" t="s">
        <v>1376</v>
      </c>
      <c r="C3" s="168" t="s">
        <v>1377</v>
      </c>
    </row>
    <row r="4" spans="3:7" s="574" customFormat="1" ht="8.25">
      <c r="C4" s="971"/>
      <c r="G4" s="972"/>
    </row>
    <row r="5" ht="12.75">
      <c r="A5" t="s">
        <v>1378</v>
      </c>
    </row>
    <row r="6" spans="3:7" s="574" customFormat="1" ht="8.25">
      <c r="C6" s="971"/>
      <c r="G6" s="972"/>
    </row>
    <row r="7" ht="12.75">
      <c r="A7" t="s">
        <v>1379</v>
      </c>
    </row>
    <row r="8" spans="1:3" ht="12.75">
      <c r="A8" t="s">
        <v>1380</v>
      </c>
      <c r="C8" s="968" t="s">
        <v>1381</v>
      </c>
    </row>
    <row r="9" spans="1:3" ht="12.75">
      <c r="A9" t="s">
        <v>1382</v>
      </c>
      <c r="C9" s="973" t="s">
        <v>1383</v>
      </c>
    </row>
    <row r="10" spans="3:7" s="574" customFormat="1" ht="8.25">
      <c r="C10" s="971"/>
      <c r="G10" s="972"/>
    </row>
    <row r="11" spans="1:3" ht="12.75">
      <c r="A11" t="s">
        <v>1384</v>
      </c>
      <c r="C11" s="974" t="s">
        <v>1385</v>
      </c>
    </row>
    <row r="12" spans="1:3" ht="12.75">
      <c r="A12" s="75" t="s">
        <v>1386</v>
      </c>
      <c r="B12" s="75" t="s">
        <v>1387</v>
      </c>
      <c r="C12" s="519">
        <v>205508897.56</v>
      </c>
    </row>
    <row r="13" spans="1:6" ht="12.75">
      <c r="A13" s="75" t="s">
        <v>1388</v>
      </c>
      <c r="B13" s="75" t="s">
        <v>1389</v>
      </c>
      <c r="C13" s="519">
        <v>22030493.42</v>
      </c>
      <c r="D13" s="574"/>
      <c r="E13" s="574"/>
      <c r="F13" s="574"/>
    </row>
    <row r="14" spans="1:3" ht="12.75">
      <c r="A14" s="75" t="s">
        <v>1390</v>
      </c>
      <c r="B14" s="75" t="s">
        <v>1391</v>
      </c>
      <c r="C14" s="519">
        <v>8242675.71</v>
      </c>
    </row>
    <row r="15" spans="1:6" ht="12.75">
      <c r="A15" s="75" t="s">
        <v>1392</v>
      </c>
      <c r="B15" s="75" t="s">
        <v>1393</v>
      </c>
      <c r="C15" s="519">
        <v>3682066.24</v>
      </c>
      <c r="D15" s="574"/>
      <c r="E15" s="574"/>
      <c r="F15" s="574"/>
    </row>
    <row r="16" spans="1:3" ht="12.75">
      <c r="A16" s="75" t="s">
        <v>1394</v>
      </c>
      <c r="B16" s="75" t="s">
        <v>1395</v>
      </c>
      <c r="C16" s="519">
        <v>72066.32</v>
      </c>
    </row>
    <row r="17" spans="1:6" ht="12.75">
      <c r="A17" s="75" t="s">
        <v>1396</v>
      </c>
      <c r="B17" s="75" t="s">
        <v>1397</v>
      </c>
      <c r="C17" s="519">
        <v>1715512.25</v>
      </c>
      <c r="D17" s="574"/>
      <c r="E17" s="574"/>
      <c r="F17" s="574"/>
    </row>
    <row r="18" spans="1:3" ht="12.75">
      <c r="A18" s="75" t="s">
        <v>1398</v>
      </c>
      <c r="B18" s="75" t="s">
        <v>1399</v>
      </c>
      <c r="C18" s="519">
        <v>167528407.09</v>
      </c>
    </row>
    <row r="19" spans="1:7" s="574" customFormat="1" ht="11.25">
      <c r="A19" s="75" t="s">
        <v>1400</v>
      </c>
      <c r="B19" s="75" t="s">
        <v>1401</v>
      </c>
      <c r="C19" s="519">
        <v>2237676.53</v>
      </c>
      <c r="G19" s="972"/>
    </row>
    <row r="20" spans="3:7" s="466" customFormat="1" ht="8.25">
      <c r="C20" s="975"/>
      <c r="D20" s="574"/>
      <c r="E20" s="574"/>
      <c r="F20" s="574"/>
      <c r="G20" s="975"/>
    </row>
    <row r="21" spans="1:6" ht="12.75">
      <c r="A21" s="75" t="s">
        <v>1402</v>
      </c>
      <c r="B21" s="75"/>
      <c r="C21" s="519"/>
      <c r="D21" s="574"/>
      <c r="E21" s="574"/>
      <c r="F21" s="574"/>
    </row>
    <row r="22" spans="1:3" ht="12.75">
      <c r="A22" s="75" t="s">
        <v>1403</v>
      </c>
      <c r="B22" s="75" t="s">
        <v>1404</v>
      </c>
      <c r="C22" s="519">
        <v>35465250.29</v>
      </c>
    </row>
    <row r="23" spans="1:6" ht="12.75">
      <c r="A23" s="75" t="s">
        <v>1405</v>
      </c>
      <c r="B23" s="75" t="s">
        <v>1391</v>
      </c>
      <c r="C23" s="519">
        <v>12370600.49</v>
      </c>
      <c r="D23" s="574"/>
      <c r="E23" s="574"/>
      <c r="F23" s="574"/>
    </row>
    <row r="24" spans="1:7" s="574" customFormat="1" ht="12.75">
      <c r="A24" s="75" t="s">
        <v>1406</v>
      </c>
      <c r="B24" s="75" t="s">
        <v>1401</v>
      </c>
      <c r="C24" s="519">
        <v>23094649.8</v>
      </c>
      <c r="D24"/>
      <c r="E24"/>
      <c r="F24"/>
      <c r="G24" s="972"/>
    </row>
    <row r="25" spans="1:6" ht="12.75">
      <c r="A25" s="75"/>
      <c r="B25" s="75"/>
      <c r="C25" s="519"/>
      <c r="D25" s="574"/>
      <c r="E25" s="574"/>
      <c r="F25" s="574"/>
    </row>
    <row r="26" spans="1:3" ht="12.75">
      <c r="A26" s="75" t="s">
        <v>1407</v>
      </c>
      <c r="B26" s="75"/>
      <c r="C26" s="519"/>
    </row>
    <row r="27" spans="1:6" ht="12.75">
      <c r="A27" s="75" t="s">
        <v>1408</v>
      </c>
      <c r="B27" s="75" t="s">
        <v>1409</v>
      </c>
      <c r="C27" s="519">
        <v>70594.51</v>
      </c>
      <c r="D27" s="574"/>
      <c r="E27" s="574"/>
      <c r="F27" s="574"/>
    </row>
    <row r="28" spans="1:7" s="574" customFormat="1" ht="12.75">
      <c r="A28" s="75" t="s">
        <v>1410</v>
      </c>
      <c r="B28" s="75" t="s">
        <v>1411</v>
      </c>
      <c r="C28" s="519">
        <v>5018.75</v>
      </c>
      <c r="D28"/>
      <c r="E28"/>
      <c r="F28"/>
      <c r="G28" s="972"/>
    </row>
    <row r="29" spans="1:6" ht="12.75">
      <c r="A29" s="75" t="s">
        <v>1412</v>
      </c>
      <c r="B29" s="75" t="s">
        <v>1413</v>
      </c>
      <c r="C29" s="519">
        <v>7286.16</v>
      </c>
      <c r="D29" s="574"/>
      <c r="E29" s="574"/>
      <c r="F29" s="574"/>
    </row>
    <row r="30" spans="1:7" s="574" customFormat="1" ht="12.75">
      <c r="A30" s="75" t="s">
        <v>1414</v>
      </c>
      <c r="B30" s="75" t="s">
        <v>1415</v>
      </c>
      <c r="C30" s="519">
        <v>58289.6</v>
      </c>
      <c r="D30"/>
      <c r="E30"/>
      <c r="F30"/>
      <c r="G30" s="972"/>
    </row>
    <row r="31" spans="3:7" s="466" customFormat="1" ht="8.25">
      <c r="C31" s="975"/>
      <c r="D31" s="574"/>
      <c r="E31" s="574"/>
      <c r="F31" s="574"/>
      <c r="G31" s="975"/>
    </row>
    <row r="32" spans="1:7" s="575" customFormat="1" ht="12.75">
      <c r="A32" s="490" t="s">
        <v>1416</v>
      </c>
      <c r="B32" s="490"/>
      <c r="C32" s="976">
        <v>241044742.36</v>
      </c>
      <c r="D32" s="7"/>
      <c r="E32" s="7"/>
      <c r="F32" s="7"/>
      <c r="G32" s="977"/>
    </row>
    <row r="33" spans="3:7" s="466" customFormat="1" ht="8.25">
      <c r="C33" s="975"/>
      <c r="D33" s="574"/>
      <c r="E33" s="574"/>
      <c r="F33" s="574"/>
      <c r="G33" s="975"/>
    </row>
    <row r="34" spans="1:3" ht="12.75">
      <c r="A34" s="75" t="s">
        <v>1417</v>
      </c>
      <c r="B34" s="75"/>
      <c r="C34" s="519"/>
    </row>
    <row r="35" spans="3:7" s="466" customFormat="1" ht="8.25">
      <c r="C35" s="975"/>
      <c r="D35" s="574"/>
      <c r="E35" s="574"/>
      <c r="F35" s="574"/>
      <c r="G35" s="975"/>
    </row>
    <row r="36" spans="1:3" ht="12.75">
      <c r="A36" s="75" t="s">
        <v>1418</v>
      </c>
      <c r="B36" s="75"/>
      <c r="C36" s="519"/>
    </row>
    <row r="37" spans="1:7" s="979" customFormat="1" ht="15">
      <c r="A37" s="75" t="s">
        <v>1386</v>
      </c>
      <c r="B37" s="75" t="s">
        <v>1387</v>
      </c>
      <c r="C37" s="519">
        <v>16497669.76</v>
      </c>
      <c r="D37" s="574"/>
      <c r="E37" s="574"/>
      <c r="F37" s="574"/>
      <c r="G37" s="978"/>
    </row>
    <row r="38" spans="1:3" ht="12.75">
      <c r="A38" s="75" t="s">
        <v>1398</v>
      </c>
      <c r="B38" s="75" t="s">
        <v>1399</v>
      </c>
      <c r="C38" s="519">
        <v>16497669.76</v>
      </c>
    </row>
    <row r="39" spans="1:7" s="574" customFormat="1" ht="11.25">
      <c r="A39" s="75" t="s">
        <v>1419</v>
      </c>
      <c r="B39" s="75"/>
      <c r="C39" s="519">
        <v>16497669.76</v>
      </c>
      <c r="G39" s="972"/>
    </row>
    <row r="40" spans="1:7" s="574" customFormat="1" ht="12.75">
      <c r="A40" s="75" t="s">
        <v>1420</v>
      </c>
      <c r="B40" s="75"/>
      <c r="C40" s="519">
        <v>224547072.6</v>
      </c>
      <c r="D40"/>
      <c r="E40"/>
      <c r="F40"/>
      <c r="G40" s="972"/>
    </row>
    <row r="41" spans="1:6" ht="12.75">
      <c r="A41" s="490" t="s">
        <v>1421</v>
      </c>
      <c r="B41" s="490"/>
      <c r="C41" s="976">
        <v>224547072.6</v>
      </c>
      <c r="D41" s="574"/>
      <c r="E41" s="574"/>
      <c r="F41" s="574"/>
    </row>
    <row r="42" spans="3:7" s="466" customFormat="1" ht="8.25">
      <c r="C42" s="975"/>
      <c r="D42" s="574"/>
      <c r="E42" s="574"/>
      <c r="F42" s="574"/>
      <c r="G42" s="975"/>
    </row>
    <row r="43" spans="1:2" ht="12.75">
      <c r="A43" s="168" t="s">
        <v>1422</v>
      </c>
      <c r="B43" s="7" t="s">
        <v>1423</v>
      </c>
    </row>
    <row r="44" spans="1:7" s="7" customFormat="1" ht="12.75">
      <c r="A44" s="490" t="s">
        <v>1386</v>
      </c>
      <c r="B44" s="490" t="s">
        <v>1387</v>
      </c>
      <c r="C44" s="976">
        <f>C12</f>
        <v>205508897.56</v>
      </c>
      <c r="G44" s="970"/>
    </row>
    <row r="45" spans="2:3" ht="12.75">
      <c r="B45" t="s">
        <v>1424</v>
      </c>
      <c r="C45" s="968">
        <f>-C38</f>
        <v>-16497669.76</v>
      </c>
    </row>
    <row r="46" spans="3:7" s="574" customFormat="1" ht="8.25">
      <c r="C46" s="971"/>
      <c r="G46" s="972"/>
    </row>
    <row r="47" spans="1:7" s="979" customFormat="1" ht="15">
      <c r="A47" s="980"/>
      <c r="B47" s="980" t="s">
        <v>1425</v>
      </c>
      <c r="C47" s="981">
        <f>SUM(C44:C46)</f>
        <v>189011227.8</v>
      </c>
      <c r="D47" s="980"/>
      <c r="G47" s="978"/>
    </row>
    <row r="48" ht="15">
      <c r="A48" t="s">
        <v>1426</v>
      </c>
    </row>
    <row r="49" spans="3:7" s="574" customFormat="1" ht="8.25">
      <c r="C49" s="971"/>
      <c r="G49" s="972"/>
    </row>
    <row r="50" spans="2:3" ht="15">
      <c r="B50" t="s">
        <v>1427</v>
      </c>
      <c r="C50" s="982">
        <v>0.01</v>
      </c>
    </row>
    <row r="51" spans="1:4" ht="15">
      <c r="A51" s="542"/>
      <c r="B51" s="608" t="s">
        <v>1428</v>
      </c>
      <c r="C51" s="983">
        <f>C47*C50</f>
        <v>1890112.2780000002</v>
      </c>
      <c r="D51" s="542"/>
    </row>
    <row r="52" spans="3:7" s="466" customFormat="1" ht="8.25">
      <c r="C52" s="984"/>
      <c r="G52" s="975"/>
    </row>
    <row r="53" spans="3:7" s="466" customFormat="1" ht="8.25">
      <c r="C53" s="984"/>
      <c r="G53" s="975"/>
    </row>
    <row r="54" spans="1:3" ht="12.75">
      <c r="A54" s="432" t="s">
        <v>1429</v>
      </c>
      <c r="B54" s="7" t="s">
        <v>1430</v>
      </c>
      <c r="C54"/>
    </row>
    <row r="55" s="466" customFormat="1" ht="8.25">
      <c r="G55" s="975"/>
    </row>
    <row r="56" spans="2:7" s="7" customFormat="1" ht="12.75">
      <c r="B56" s="7" t="str">
        <f>A40</f>
        <v>  Total Liquido das Receitas  </v>
      </c>
      <c r="C56" s="985">
        <f>C41</f>
        <v>224547072.6</v>
      </c>
      <c r="G56" s="970"/>
    </row>
    <row r="57" spans="2:3" ht="12.75">
      <c r="B57" s="7" t="s">
        <v>1367</v>
      </c>
      <c r="C57"/>
    </row>
    <row r="58" spans="2:3" ht="12.75">
      <c r="B58" t="str">
        <f>A21</f>
        <v>  Receitas Correntes Intra-Orçamentárias  </v>
      </c>
      <c r="C58" s="986">
        <f>-C22</f>
        <v>-35465250.29</v>
      </c>
    </row>
    <row r="59" spans="2:3" ht="12.75">
      <c r="B59" t="str">
        <f>A26</f>
        <v>  Receitas de capital  </v>
      </c>
      <c r="C59" s="986">
        <f>-C27</f>
        <v>-70594.51</v>
      </c>
    </row>
    <row r="60" s="466" customFormat="1" ht="8.25">
      <c r="G60" s="975"/>
    </row>
    <row r="61" spans="1:4" ht="12.75">
      <c r="A61" s="987"/>
      <c r="B61" s="988" t="s">
        <v>1431</v>
      </c>
      <c r="C61" s="989">
        <f>SUM(C56:C59)</f>
        <v>189011227.8</v>
      </c>
      <c r="D61" s="987"/>
    </row>
    <row r="62" s="466" customFormat="1" ht="8.25">
      <c r="G62" s="975"/>
    </row>
    <row r="63" spans="2:3" ht="12.75">
      <c r="B63" s="990" t="s">
        <v>1432</v>
      </c>
      <c r="C63" s="989">
        <f>C61*0.01</f>
        <v>1890112.2780000002</v>
      </c>
    </row>
    <row r="64" ht="12.75">
      <c r="C64"/>
    </row>
    <row r="65" ht="12.75">
      <c r="C65"/>
    </row>
    <row r="66" ht="12.75">
      <c r="C66"/>
    </row>
    <row r="67" ht="12.75">
      <c r="C67"/>
    </row>
    <row r="68" ht="12.75">
      <c r="C68"/>
    </row>
    <row r="72" spans="1:3" ht="12.75">
      <c r="A72" s="991" t="s">
        <v>1433</v>
      </c>
      <c r="C72"/>
    </row>
    <row r="73" s="574" customFormat="1" ht="8.25">
      <c r="G73" s="972"/>
    </row>
    <row r="74" spans="2:3" ht="12.75">
      <c r="B74" s="992" t="s">
        <v>1434</v>
      </c>
      <c r="C74" s="985">
        <f>C12</f>
        <v>205508897.56</v>
      </c>
    </row>
    <row r="75" s="574" customFormat="1" ht="8.25">
      <c r="G75" s="972"/>
    </row>
    <row r="76" spans="2:3" ht="12.75">
      <c r="B76" s="992" t="s">
        <v>1367</v>
      </c>
      <c r="C76"/>
    </row>
    <row r="77" spans="2:3" ht="12.75">
      <c r="B77" s="11" t="s">
        <v>1435</v>
      </c>
      <c r="C77" s="968">
        <f>-10114061.26</f>
        <v>-10114061.26</v>
      </c>
    </row>
    <row r="78" spans="2:3" ht="12.75">
      <c r="B78" s="11" t="s">
        <v>1436</v>
      </c>
      <c r="C78" s="993">
        <v>-2663971.19</v>
      </c>
    </row>
    <row r="79" spans="2:3" ht="12.75">
      <c r="B79" s="994" t="s">
        <v>1437</v>
      </c>
      <c r="C79" s="993">
        <f>-C37</f>
        <v>-16497669.76</v>
      </c>
    </row>
    <row r="80" s="574" customFormat="1" ht="8.25">
      <c r="G80" s="972"/>
    </row>
    <row r="81" s="574" customFormat="1" ht="8.25">
      <c r="G81" s="972"/>
    </row>
    <row r="82" spans="1:4" ht="12.75">
      <c r="A82" s="168" t="s">
        <v>1438</v>
      </c>
      <c r="B82" s="988" t="s">
        <v>1439</v>
      </c>
      <c r="C82" s="995">
        <f>SUM(C74:C81)</f>
        <v>176233195.35000002</v>
      </c>
      <c r="D82" s="987"/>
    </row>
    <row r="83" spans="2:3" ht="12.75">
      <c r="B83" s="7"/>
      <c r="C83"/>
    </row>
    <row r="84" spans="2:3" ht="12.75">
      <c r="B84" s="7"/>
      <c r="C84"/>
    </row>
    <row r="85" spans="2:3" ht="12.75">
      <c r="B85" s="7"/>
      <c r="C85"/>
    </row>
    <row r="86" spans="1:3" ht="12.75">
      <c r="A86" s="7" t="s">
        <v>1433</v>
      </c>
      <c r="C86"/>
    </row>
    <row r="87" s="574" customFormat="1" ht="8.25">
      <c r="G87" s="972"/>
    </row>
    <row r="88" spans="2:3" ht="12.75">
      <c r="B88" s="996" t="s">
        <v>1440</v>
      </c>
      <c r="C88" s="985">
        <f>C41</f>
        <v>224547072.6</v>
      </c>
    </row>
    <row r="89" s="574" customFormat="1" ht="8.25">
      <c r="G89" s="972"/>
    </row>
    <row r="90" spans="2:3" ht="12.75">
      <c r="B90" s="992" t="s">
        <v>1367</v>
      </c>
      <c r="C90"/>
    </row>
    <row r="91" spans="2:3" ht="12.75">
      <c r="B91" s="994" t="s">
        <v>1441</v>
      </c>
      <c r="C91" s="483">
        <f>-C22</f>
        <v>-35465250.29</v>
      </c>
    </row>
    <row r="92" spans="2:3" ht="12.75">
      <c r="B92" s="994" t="s">
        <v>1442</v>
      </c>
      <c r="C92" s="483">
        <f>-C27</f>
        <v>-70594.51</v>
      </c>
    </row>
    <row r="93" spans="2:3" ht="12.75">
      <c r="B93" s="11" t="s">
        <v>1435</v>
      </c>
      <c r="C93" s="968">
        <f>-10114061.26</f>
        <v>-10114061.26</v>
      </c>
    </row>
    <row r="94" spans="2:3" ht="12.75">
      <c r="B94" s="11" t="s">
        <v>1436</v>
      </c>
      <c r="C94" s="993">
        <v>-2663971.19</v>
      </c>
    </row>
    <row r="95" s="574" customFormat="1" ht="8.25">
      <c r="G95" s="972"/>
    </row>
    <row r="96" spans="1:4" ht="12.75">
      <c r="A96" s="168" t="s">
        <v>1443</v>
      </c>
      <c r="B96" s="988" t="s">
        <v>1439</v>
      </c>
      <c r="C96" s="989">
        <f>SUM(C88:C95)</f>
        <v>176233195.35000002</v>
      </c>
      <c r="D96" s="483">
        <f>C96-C82</f>
        <v>0</v>
      </c>
    </row>
    <row r="97" ht="12.75">
      <c r="C97"/>
    </row>
    <row r="98" ht="12.75">
      <c r="C98"/>
    </row>
    <row r="99" ht="12.75">
      <c r="C99"/>
    </row>
    <row r="100" ht="12.75">
      <c r="C100"/>
    </row>
    <row r="101" spans="1:3" ht="12.75">
      <c r="A101" s="7" t="s">
        <v>1433</v>
      </c>
      <c r="C101"/>
    </row>
    <row r="102" s="574" customFormat="1" ht="8.25">
      <c r="G102" s="972"/>
    </row>
    <row r="103" spans="2:3" ht="12.75">
      <c r="B103" s="992" t="s">
        <v>1444</v>
      </c>
      <c r="C103" s="985">
        <f>192730865.11</f>
        <v>192730865.11</v>
      </c>
    </row>
    <row r="104" s="574" customFormat="1" ht="8.25">
      <c r="G104" s="972"/>
    </row>
    <row r="105" spans="2:3" ht="12.75">
      <c r="B105" s="992" t="s">
        <v>1367</v>
      </c>
      <c r="C105"/>
    </row>
    <row r="106" spans="2:3" ht="12.75">
      <c r="B106" s="997" t="s">
        <v>1445</v>
      </c>
      <c r="C106" s="993">
        <f>-C39</f>
        <v>-16497669.76</v>
      </c>
    </row>
    <row r="107" s="574" customFormat="1" ht="8.25">
      <c r="G107" s="972"/>
    </row>
    <row r="108" spans="1:4" ht="12.75">
      <c r="A108" s="432" t="s">
        <v>1446</v>
      </c>
      <c r="B108" s="988" t="s">
        <v>1439</v>
      </c>
      <c r="C108" s="989">
        <f>SUM(C103:C107)</f>
        <v>176233195.35000002</v>
      </c>
      <c r="D108" s="483">
        <f>C108-C96</f>
        <v>0</v>
      </c>
    </row>
  </sheetData>
  <sheetProtection/>
  <printOptions/>
  <pageMargins left="0.511811024" right="0.511811024" top="0.787401575" bottom="0.787401575" header="0.31496062" footer="0.31496062"/>
  <pageSetup orientation="portrait" paperSize="9"/>
</worksheet>
</file>

<file path=xl/worksheets/sheet5.xml><?xml version="1.0" encoding="utf-8"?>
<worksheet xmlns="http://schemas.openxmlformats.org/spreadsheetml/2006/main" xmlns:r="http://schemas.openxmlformats.org/officeDocument/2006/relationships">
  <dimension ref="A1:F97"/>
  <sheetViews>
    <sheetView zoomScaleSheetLayoutView="100" zoomScalePageLayoutView="0" workbookViewId="0" topLeftCell="A54">
      <selection activeCell="J5" sqref="J4:W5"/>
    </sheetView>
  </sheetViews>
  <sheetFormatPr defaultColWidth="9.140625" defaultRowHeight="12.75"/>
  <cols>
    <col min="1" max="1" width="71.28125" style="0" customWidth="1"/>
    <col min="2" max="2" width="19.28125" style="0" customWidth="1"/>
    <col min="3" max="3" width="27.8515625" style="0" bestFit="1" customWidth="1"/>
    <col min="4" max="4" width="20.00390625" style="0" customWidth="1"/>
    <col min="6" max="6" width="14.00390625" style="0" bestFit="1" customWidth="1"/>
  </cols>
  <sheetData>
    <row r="1" spans="1:4" ht="12.75">
      <c r="A1" s="676" t="str">
        <f>'[1]Parâmetros'!A7</f>
        <v>Município de : Caçapava do Sul / RS.</v>
      </c>
      <c r="B1" s="668"/>
      <c r="C1" s="668"/>
      <c r="D1" s="668"/>
    </row>
    <row r="2" spans="1:4" ht="12.75">
      <c r="A2" s="677" t="s">
        <v>613</v>
      </c>
      <c r="B2" s="677"/>
      <c r="C2" s="677"/>
      <c r="D2" s="677"/>
    </row>
    <row r="3" spans="1:4" ht="13.5">
      <c r="A3" s="678" t="s">
        <v>614</v>
      </c>
      <c r="B3" s="679"/>
      <c r="C3" s="679"/>
      <c r="D3" s="679"/>
    </row>
    <row r="4" spans="1:4" ht="15">
      <c r="A4" s="609"/>
      <c r="B4" s="112"/>
      <c r="C4" s="112"/>
      <c r="D4" s="112"/>
    </row>
    <row r="5" spans="1:4" ht="12.75">
      <c r="A5" s="673" t="s">
        <v>398</v>
      </c>
      <c r="B5" s="675"/>
      <c r="C5" s="675"/>
      <c r="D5" s="675"/>
    </row>
    <row r="6" spans="1:4" ht="12.75">
      <c r="A6" s="674"/>
      <c r="B6" s="113">
        <f>'[1]Parâmetros'!E10</f>
        <v>2023</v>
      </c>
      <c r="C6" s="113">
        <f>'[1]Parâmetros'!F10</f>
        <v>2024</v>
      </c>
      <c r="D6" s="304">
        <f>'[1]Parâmetros'!G10</f>
        <v>2025</v>
      </c>
    </row>
    <row r="7" spans="1:4" ht="12.75">
      <c r="A7" s="114" t="s">
        <v>395</v>
      </c>
      <c r="B7" s="305">
        <f>'[1]RCL'!B17*0.54</f>
        <v>77361106.01383278</v>
      </c>
      <c r="C7" s="305">
        <f>'[1]RCL'!C17*0.54</f>
        <v>79890066.61598511</v>
      </c>
      <c r="D7" s="305">
        <f>'[1]RCL'!D17*0.54</f>
        <v>82762938.65978509</v>
      </c>
    </row>
    <row r="8" spans="1:4" ht="12.75">
      <c r="A8" s="115" t="s">
        <v>396</v>
      </c>
      <c r="B8" s="305">
        <f>B7*0.95</f>
        <v>73493050.71314113</v>
      </c>
      <c r="C8" s="305">
        <f>C7*0.95</f>
        <v>75895563.28518586</v>
      </c>
      <c r="D8" s="305">
        <f>D7*0.95</f>
        <v>78624791.72679584</v>
      </c>
    </row>
    <row r="9" spans="1:4" ht="12.75">
      <c r="A9" s="114" t="s">
        <v>397</v>
      </c>
      <c r="B9" s="305">
        <f>B7*0.9</f>
        <v>69624995.41244951</v>
      </c>
      <c r="C9" s="305">
        <f>C7*0.9</f>
        <v>71901059.9543866</v>
      </c>
      <c r="D9" s="305">
        <f>D7*0.9</f>
        <v>74486644.79380658</v>
      </c>
    </row>
    <row r="10" spans="1:4" ht="12.75">
      <c r="A10" s="680"/>
      <c r="B10" s="680"/>
      <c r="C10" s="680"/>
      <c r="D10" s="680"/>
    </row>
    <row r="11" spans="1:4" ht="12.75">
      <c r="A11" s="610"/>
      <c r="B11" s="116"/>
      <c r="C11" s="116"/>
      <c r="D11" s="116"/>
    </row>
    <row r="12" spans="1:4" ht="12.75">
      <c r="A12" s="673" t="s">
        <v>399</v>
      </c>
      <c r="B12" s="675"/>
      <c r="C12" s="675"/>
      <c r="D12" s="675"/>
    </row>
    <row r="13" spans="1:4" ht="12.75">
      <c r="A13" s="674"/>
      <c r="B13" s="113">
        <f>'[1]Parâmetros'!E10</f>
        <v>2023</v>
      </c>
      <c r="C13" s="113">
        <f>'[1]Parâmetros'!F10</f>
        <v>2024</v>
      </c>
      <c r="D13" s="113">
        <f>'[1]Parâmetros'!G10</f>
        <v>2025</v>
      </c>
    </row>
    <row r="14" spans="1:4" ht="12.75">
      <c r="A14" s="117" t="s">
        <v>400</v>
      </c>
      <c r="B14" s="305">
        <f>'[1]RCL'!B17*0.06</f>
        <v>8595678.445981419</v>
      </c>
      <c r="C14" s="305">
        <f>'[1]RCL'!C17*0.06</f>
        <v>8876674.068442788</v>
      </c>
      <c r="D14" s="305">
        <f>'[1]RCL'!D17*0.06</f>
        <v>9195882.073309453</v>
      </c>
    </row>
    <row r="15" spans="1:4" ht="12.75">
      <c r="A15" s="118" t="s">
        <v>401</v>
      </c>
      <c r="B15" s="305">
        <f>B14*0.95</f>
        <v>8165894.5236823475</v>
      </c>
      <c r="C15" s="305">
        <f>C14*0.95</f>
        <v>8432840.365020648</v>
      </c>
      <c r="D15" s="305">
        <f>D14*0.95</f>
        <v>8736087.96964398</v>
      </c>
    </row>
    <row r="16" spans="1:4" ht="12.75">
      <c r="A16" s="119" t="s">
        <v>402</v>
      </c>
      <c r="B16" s="305">
        <f>B14*0.9</f>
        <v>7736110.601383277</v>
      </c>
      <c r="C16" s="305">
        <f>C14*0.9</f>
        <v>7989006.661598509</v>
      </c>
      <c r="D16" s="305">
        <f>D14*0.9</f>
        <v>8276293.865978508</v>
      </c>
    </row>
    <row r="19" ht="12.75">
      <c r="A19" s="120"/>
    </row>
    <row r="34" ht="0.75" customHeight="1"/>
    <row r="35" ht="12.75" customHeight="1" hidden="1"/>
    <row r="36" ht="12.75" customHeight="1" hidden="1"/>
    <row r="37" ht="12.75" customHeight="1" hidden="1"/>
    <row r="38" ht="12.75" customHeight="1" hidden="1"/>
    <row r="39" ht="12.75" customHeight="1" hidden="1"/>
    <row r="40" ht="12.75" customHeight="1" hidden="1"/>
    <row r="41" ht="12.75" customHeight="1" hidden="1"/>
    <row r="53" spans="1:5" ht="15.75">
      <c r="A53" s="433"/>
      <c r="B53" s="3"/>
      <c r="C53" s="433"/>
      <c r="D53" s="3"/>
      <c r="E53" s="433"/>
    </row>
    <row r="54" spans="1:5" ht="15.75">
      <c r="A54" s="432" t="s">
        <v>656</v>
      </c>
      <c r="B54" s="1"/>
      <c r="C54" s="432" t="s">
        <v>653</v>
      </c>
      <c r="D54" s="11"/>
      <c r="E54" s="432" t="s">
        <v>654</v>
      </c>
    </row>
    <row r="55" spans="1:5" ht="15.75">
      <c r="A55" s="432" t="s">
        <v>662</v>
      </c>
      <c r="B55" s="1"/>
      <c r="C55" s="432" t="s">
        <v>657</v>
      </c>
      <c r="D55" s="11"/>
      <c r="E55" s="432" t="s">
        <v>661</v>
      </c>
    </row>
    <row r="56" spans="1:5" ht="15.75">
      <c r="A56" s="432" t="s">
        <v>658</v>
      </c>
      <c r="B56" s="1"/>
      <c r="C56" s="432" t="s">
        <v>659</v>
      </c>
      <c r="D56" s="11"/>
      <c r="E56" s="432" t="s">
        <v>660</v>
      </c>
    </row>
    <row r="66" spans="1:4" ht="12.75">
      <c r="A66" s="667" t="str">
        <f>A1</f>
        <v>Município de : Caçapava do Sul / RS.</v>
      </c>
      <c r="B66" s="668"/>
      <c r="C66" s="668"/>
      <c r="D66" s="668"/>
    </row>
    <row r="67" spans="1:4" ht="12.75">
      <c r="A67" s="669" t="s">
        <v>613</v>
      </c>
      <c r="B67" s="669"/>
      <c r="C67" s="669"/>
      <c r="D67" s="669"/>
    </row>
    <row r="68" spans="1:4" ht="13.5">
      <c r="A68" s="670" t="s">
        <v>614</v>
      </c>
      <c r="B68" s="671"/>
      <c r="C68" s="671"/>
      <c r="D68" s="671"/>
    </row>
    <row r="69" spans="1:4" ht="15">
      <c r="A69" s="612"/>
      <c r="B69" s="611"/>
      <c r="C69" s="611"/>
      <c r="D69" s="611"/>
    </row>
    <row r="70" spans="1:4" ht="15">
      <c r="A70" s="612" t="s">
        <v>1366</v>
      </c>
      <c r="B70" s="613">
        <f>205508897.56</f>
        <v>205508897.56</v>
      </c>
      <c r="C70" s="613">
        <f>B70*(1+'[1]Parâmetros'!F11)*(1+'[1]Parâmetros'!F13)*(1+'[1]Parâmetros'!F18)</f>
        <v>227860429.95936492</v>
      </c>
      <c r="D70" s="613">
        <f>C70*(1+'[1]Parâmetros'!G11)*(1+'[1]Parâmetros'!G13)*(1+'[1]Parâmetros'!G19)</f>
        <v>250306684.21708307</v>
      </c>
    </row>
    <row r="71" spans="1:4" ht="15">
      <c r="A71" s="614" t="s">
        <v>1367</v>
      </c>
      <c r="B71" s="615"/>
      <c r="C71" s="615"/>
      <c r="D71" s="615"/>
    </row>
    <row r="72" spans="1:4" ht="14.25">
      <c r="A72" s="616" t="s">
        <v>1368</v>
      </c>
      <c r="B72" s="617">
        <v>-16497669.76</v>
      </c>
      <c r="C72" s="617">
        <f>B72*(1+'[1]Parâmetros'!F11)*(1+'[1]Parâmetros'!F13)*(1+'[1]Parâmetros'!F18)</f>
        <v>-18291987.205778737</v>
      </c>
      <c r="D72" s="617">
        <f>C72*(1+'[1]Parâmetros'!G11)*(1+'[1]Parâmetros'!G13)*(1+'[1]Parâmetros'!G19)</f>
        <v>-20093908.652925387</v>
      </c>
    </row>
    <row r="73" spans="1:4" ht="14.25">
      <c r="A73" s="616" t="s">
        <v>1369</v>
      </c>
      <c r="B73" s="617">
        <v>-10114061.26</v>
      </c>
      <c r="C73" s="617">
        <f>B73*(1+'[1]Parâmetros'!F11)*(1+'[1]Parâmetros'!F13)*(1+'[1]Parâmetros'!F18)</f>
        <v>-11214085.49557379</v>
      </c>
      <c r="D73" s="617">
        <f>C73*(1+'[1]Parâmetros'!G11)*(1+'[1]Parâmetros'!G13)*(1+'[1]Parâmetros'!G19)</f>
        <v>-12318771.440151038</v>
      </c>
    </row>
    <row r="74" spans="1:4" ht="14.25">
      <c r="A74" s="616" t="s">
        <v>1370</v>
      </c>
      <c r="B74" s="617">
        <v>-2663971.19</v>
      </c>
      <c r="C74" s="617">
        <f>B74*(1+'[1]Parâmetros'!F11)*(1+'[1]Parâmetros'!F13)*(1+'[1]Parâmetros'!F18)</f>
        <v>-2953709.683423991</v>
      </c>
      <c r="D74" s="617">
        <f>C74*(1+'[1]Parâmetros'!G11)*(1+'[1]Parâmetros'!G13)*(1+'[1]Parâmetros'!G19)</f>
        <v>-3244676.0375621025</v>
      </c>
    </row>
    <row r="75" spans="1:4" ht="15">
      <c r="A75" s="618" t="s">
        <v>1371</v>
      </c>
      <c r="B75" s="615">
        <f>SUM(B70:B74)</f>
        <v>176233195.35000002</v>
      </c>
      <c r="C75" s="615">
        <f>SUM(C70:C74)</f>
        <v>195400647.5745884</v>
      </c>
      <c r="D75" s="615">
        <f>SUM(D70:D74)</f>
        <v>214649328.08644453</v>
      </c>
    </row>
    <row r="76" spans="1:4" ht="15">
      <c r="A76" s="612"/>
      <c r="B76" s="611"/>
      <c r="C76" s="611"/>
      <c r="D76" s="611"/>
    </row>
    <row r="77" spans="1:4" ht="12.75">
      <c r="A77" s="664" t="s">
        <v>398</v>
      </c>
      <c r="B77" s="666"/>
      <c r="C77" s="666"/>
      <c r="D77" s="666"/>
    </row>
    <row r="78" spans="1:4" ht="12.75">
      <c r="A78" s="665"/>
      <c r="B78" s="619">
        <f>B6</f>
        <v>2023</v>
      </c>
      <c r="C78" s="619">
        <f>C6</f>
        <v>2024</v>
      </c>
      <c r="D78" s="619">
        <f>D6</f>
        <v>2025</v>
      </c>
    </row>
    <row r="79" spans="1:4" ht="12.75">
      <c r="A79" s="620" t="s">
        <v>395</v>
      </c>
      <c r="B79" s="621">
        <f>B75*0.54</f>
        <v>95165925.48900002</v>
      </c>
      <c r="C79" s="622">
        <f>C75*0.54</f>
        <v>105516349.69027774</v>
      </c>
      <c r="D79" s="621">
        <f>D75*0.54</f>
        <v>115910637.16668005</v>
      </c>
    </row>
    <row r="80" spans="1:6" ht="12.75">
      <c r="A80" s="623" t="s">
        <v>396</v>
      </c>
      <c r="B80" s="621">
        <f>B79*0.95</f>
        <v>90407629.21455002</v>
      </c>
      <c r="C80" s="621">
        <f>C79*0.95</f>
        <v>100240532.20576385</v>
      </c>
      <c r="D80" s="621">
        <f>D79*0.95</f>
        <v>110115105.30834605</v>
      </c>
      <c r="F80" s="624"/>
    </row>
    <row r="81" spans="1:4" ht="12.75">
      <c r="A81" s="620" t="s">
        <v>397</v>
      </c>
      <c r="B81" s="621">
        <f>B79*0.9</f>
        <v>85649332.94010003</v>
      </c>
      <c r="C81" s="621">
        <f>C79*0.9</f>
        <v>94964714.72124997</v>
      </c>
      <c r="D81" s="621">
        <f>D79*0.9</f>
        <v>104319573.45001204</v>
      </c>
    </row>
    <row r="82" spans="1:4" ht="12.75">
      <c r="A82" s="672"/>
      <c r="B82" s="672"/>
      <c r="C82" s="672"/>
      <c r="D82" s="672"/>
    </row>
    <row r="83" spans="1:4" ht="12.75">
      <c r="A83" s="625"/>
      <c r="B83" s="626"/>
      <c r="C83" s="626"/>
      <c r="D83" s="626"/>
    </row>
    <row r="84" spans="1:4" ht="12.75">
      <c r="A84" s="664" t="s">
        <v>399</v>
      </c>
      <c r="B84" s="666"/>
      <c r="C84" s="666"/>
      <c r="D84" s="666"/>
    </row>
    <row r="85" spans="1:4" ht="12.75">
      <c r="A85" s="665"/>
      <c r="B85" s="619">
        <f>B13</f>
        <v>2023</v>
      </c>
      <c r="C85" s="619">
        <f>C13</f>
        <v>2024</v>
      </c>
      <c r="D85" s="619">
        <f>D13</f>
        <v>2025</v>
      </c>
    </row>
    <row r="86" spans="1:4" ht="12.75">
      <c r="A86" s="627" t="s">
        <v>400</v>
      </c>
      <c r="B86" s="621">
        <f>B75*0.06</f>
        <v>10573991.721</v>
      </c>
      <c r="C86" s="621">
        <f>C75*0.06</f>
        <v>11724038.854475303</v>
      </c>
      <c r="D86" s="621">
        <f>D75*0.06</f>
        <v>12878959.685186671</v>
      </c>
    </row>
    <row r="87" spans="1:4" ht="12.75">
      <c r="A87" s="628" t="s">
        <v>401</v>
      </c>
      <c r="B87" s="621">
        <f>B86*0.95</f>
        <v>10045292.13495</v>
      </c>
      <c r="C87" s="621">
        <f>C86*0.95</f>
        <v>11137836.911751537</v>
      </c>
      <c r="D87" s="621">
        <f>D86*0.95</f>
        <v>12235011.700927338</v>
      </c>
    </row>
    <row r="88" spans="1:4" ht="12.75">
      <c r="A88" s="629" t="s">
        <v>402</v>
      </c>
      <c r="B88" s="621">
        <f>B86*0.9</f>
        <v>9516592.5489</v>
      </c>
      <c r="C88" s="621">
        <f>C86*0.9</f>
        <v>10551634.969027773</v>
      </c>
      <c r="D88" s="621">
        <f>D86*0.9</f>
        <v>11591063.716668004</v>
      </c>
    </row>
    <row r="89" ht="12.75">
      <c r="A89" s="620" t="s">
        <v>1372</v>
      </c>
    </row>
    <row r="95" spans="1:5" ht="15.75">
      <c r="A95" s="432" t="s">
        <v>656</v>
      </c>
      <c r="B95" s="1"/>
      <c r="C95" s="432" t="s">
        <v>653</v>
      </c>
      <c r="D95" s="11"/>
      <c r="E95" s="432" t="s">
        <v>654</v>
      </c>
    </row>
    <row r="96" spans="1:5" ht="15.75">
      <c r="A96" s="432" t="s">
        <v>662</v>
      </c>
      <c r="B96" s="1"/>
      <c r="C96" s="432" t="s">
        <v>657</v>
      </c>
      <c r="D96" s="11"/>
      <c r="E96" s="432" t="s">
        <v>661</v>
      </c>
    </row>
    <row r="97" spans="1:5" ht="15.75">
      <c r="A97" s="432" t="s">
        <v>658</v>
      </c>
      <c r="B97" s="1"/>
      <c r="C97" s="432" t="s">
        <v>659</v>
      </c>
      <c r="D97" s="11"/>
      <c r="E97" s="432" t="s">
        <v>660</v>
      </c>
    </row>
  </sheetData>
  <sheetProtection/>
  <mergeCells count="16">
    <mergeCell ref="A12:A13"/>
    <mergeCell ref="B12:D12"/>
    <mergeCell ref="A1:D1"/>
    <mergeCell ref="A2:D2"/>
    <mergeCell ref="A3:D3"/>
    <mergeCell ref="A5:A6"/>
    <mergeCell ref="B5:D5"/>
    <mergeCell ref="A10:D10"/>
    <mergeCell ref="A84:A85"/>
    <mergeCell ref="B84:D84"/>
    <mergeCell ref="A66:D66"/>
    <mergeCell ref="A67:D67"/>
    <mergeCell ref="A68:D68"/>
    <mergeCell ref="A77:A78"/>
    <mergeCell ref="B77:D77"/>
    <mergeCell ref="A82:D82"/>
  </mergeCells>
  <printOptions/>
  <pageMargins left="0.511811024" right="0.511811024" top="0.787401575" bottom="0.787401575" header="0.31496062" footer="0.31496062"/>
  <pageSetup horizontalDpi="600" verticalDpi="600" orientation="landscape" paperSize="9" scale="70" r:id="rId4"/>
  <legacyDrawing r:id="rId3"/>
  <oleObjects>
    <oleObject progId="Word.Document.8" shapeId="850536" r:id="rId1"/>
    <oleObject progId="Word.Document.8" shapeId="469204" r:id="rId2"/>
  </oleObjects>
</worksheet>
</file>

<file path=xl/worksheets/sheet6.xml><?xml version="1.0" encoding="utf-8"?>
<worksheet xmlns="http://schemas.openxmlformats.org/spreadsheetml/2006/main" xmlns:r="http://schemas.openxmlformats.org/officeDocument/2006/relationships">
  <sheetPr codeName="Plan6"/>
  <dimension ref="A1:J50"/>
  <sheetViews>
    <sheetView showGridLines="0" zoomScale="90" zoomScaleNormal="90" zoomScalePageLayoutView="0" workbookViewId="0" topLeftCell="A1">
      <selection activeCell="G50" sqref="A1:J50"/>
    </sheetView>
  </sheetViews>
  <sheetFormatPr defaultColWidth="32.00390625" defaultRowHeight="12.75"/>
  <cols>
    <col min="1" max="1" width="48.421875" style="31" customWidth="1"/>
    <col min="2" max="2" width="15.57421875" style="32" customWidth="1"/>
    <col min="3" max="3" width="16.57421875" style="37" customWidth="1"/>
    <col min="4" max="4" width="16.7109375" style="31" customWidth="1"/>
    <col min="5" max="5" width="16.28125" style="31" customWidth="1"/>
    <col min="6" max="6" width="16.140625" style="31" customWidth="1"/>
    <col min="7" max="7" width="17.00390625" style="31" customWidth="1"/>
    <col min="8" max="18" width="13.7109375" style="31" customWidth="1"/>
    <col min="19" max="16384" width="32.00390625" style="31" customWidth="1"/>
  </cols>
  <sheetData>
    <row r="1" spans="1:10" ht="12">
      <c r="A1" s="685" t="str">
        <f>Parâmetros!A7</f>
        <v>Município de : Caçapava do Sul / RS.</v>
      </c>
      <c r="B1" s="686"/>
      <c r="C1" s="686"/>
      <c r="D1" s="686"/>
      <c r="E1" s="686"/>
      <c r="F1" s="686"/>
      <c r="G1" s="686"/>
      <c r="H1" s="686"/>
      <c r="I1" s="686"/>
      <c r="J1" s="687"/>
    </row>
    <row r="2" spans="1:10" ht="12">
      <c r="A2" s="688" t="s">
        <v>615</v>
      </c>
      <c r="B2" s="686"/>
      <c r="C2" s="686"/>
      <c r="D2" s="686"/>
      <c r="E2" s="686"/>
      <c r="F2" s="686"/>
      <c r="G2" s="686"/>
      <c r="H2" s="686"/>
      <c r="I2" s="686"/>
      <c r="J2" s="687"/>
    </row>
    <row r="3" spans="1:10" ht="12">
      <c r="A3" s="688" t="s">
        <v>540</v>
      </c>
      <c r="B3" s="686"/>
      <c r="C3" s="686"/>
      <c r="D3" s="686"/>
      <c r="E3" s="686"/>
      <c r="F3" s="686"/>
      <c r="G3" s="686"/>
      <c r="H3" s="686"/>
      <c r="I3" s="686"/>
      <c r="J3" s="687"/>
    </row>
    <row r="4" spans="1:3" ht="12">
      <c r="A4" s="33"/>
      <c r="C4" s="30"/>
    </row>
    <row r="5" spans="1:7" ht="15">
      <c r="A5" s="684" t="s">
        <v>136</v>
      </c>
      <c r="B5" s="157">
        <f>Parâmetros!B10</f>
        <v>2020</v>
      </c>
      <c r="C5" s="157">
        <f>B5+1</f>
        <v>2021</v>
      </c>
      <c r="D5" s="157">
        <f>C5+1</f>
        <v>2022</v>
      </c>
      <c r="E5" s="157">
        <f>D5+1</f>
        <v>2023</v>
      </c>
      <c r="F5" s="157">
        <f>E5+1</f>
        <v>2024</v>
      </c>
      <c r="G5" s="157">
        <f>F5+1</f>
        <v>2025</v>
      </c>
    </row>
    <row r="6" spans="1:7" ht="39.75" customHeight="1">
      <c r="A6" s="684"/>
      <c r="B6" s="216" t="s">
        <v>119</v>
      </c>
      <c r="C6" s="192" t="s">
        <v>119</v>
      </c>
      <c r="D6" s="192" t="s">
        <v>120</v>
      </c>
      <c r="E6" s="192" t="s">
        <v>506</v>
      </c>
      <c r="F6" s="192" t="s">
        <v>506</v>
      </c>
      <c r="G6" s="192" t="s">
        <v>506</v>
      </c>
    </row>
    <row r="7" spans="1:7" ht="21.75" customHeight="1">
      <c r="A7" s="215" t="s">
        <v>500</v>
      </c>
      <c r="B7" s="217">
        <f aca="true" t="shared" si="0" ref="B7:G7">B8+B9+B10</f>
        <v>1674324.1999999997</v>
      </c>
      <c r="C7" s="217">
        <f t="shared" si="0"/>
        <v>938163.67</v>
      </c>
      <c r="D7" s="217">
        <f t="shared" si="0"/>
        <v>1133247.92</v>
      </c>
      <c r="E7" s="217">
        <f t="shared" si="0"/>
        <v>1248578.5966666664</v>
      </c>
      <c r="F7" s="217">
        <f t="shared" si="0"/>
        <v>1106663.3955555556</v>
      </c>
      <c r="G7" s="217">
        <f t="shared" si="0"/>
        <v>1162829.970740741</v>
      </c>
    </row>
    <row r="8" spans="1:7" ht="22.5" customHeight="1">
      <c r="A8" s="159" t="s">
        <v>497</v>
      </c>
      <c r="B8" s="57">
        <v>0</v>
      </c>
      <c r="C8" s="57">
        <v>0</v>
      </c>
      <c r="D8" s="57">
        <v>0</v>
      </c>
      <c r="E8" s="161">
        <f aca="true" t="shared" si="1" ref="E8:G10">(B8+C8+D8)/3</f>
        <v>0</v>
      </c>
      <c r="F8" s="161">
        <f t="shared" si="1"/>
        <v>0</v>
      </c>
      <c r="G8" s="161">
        <f t="shared" si="1"/>
        <v>0</v>
      </c>
    </row>
    <row r="9" spans="1:7" ht="22.5" customHeight="1">
      <c r="A9" s="159" t="s">
        <v>498</v>
      </c>
      <c r="B9" s="57">
        <v>1672307.5299999998</v>
      </c>
      <c r="C9" s="57">
        <v>936147</v>
      </c>
      <c r="D9" s="57">
        <v>1131231.25</v>
      </c>
      <c r="E9" s="161">
        <f t="shared" si="1"/>
        <v>1246561.9266666665</v>
      </c>
      <c r="F9" s="161">
        <f t="shared" si="1"/>
        <v>1104646.7255555557</v>
      </c>
      <c r="G9" s="161">
        <f t="shared" si="1"/>
        <v>1160813.300740741</v>
      </c>
    </row>
    <row r="10" spans="1:7" ht="22.5" customHeight="1">
      <c r="A10" s="159" t="s">
        <v>499</v>
      </c>
      <c r="B10" s="57">
        <v>2016.67</v>
      </c>
      <c r="C10" s="57">
        <v>2016.67</v>
      </c>
      <c r="D10" s="57">
        <v>2016.67</v>
      </c>
      <c r="E10" s="161">
        <f t="shared" si="1"/>
        <v>2016.67</v>
      </c>
      <c r="F10" s="161">
        <f t="shared" si="1"/>
        <v>2016.67</v>
      </c>
      <c r="G10" s="161">
        <f t="shared" si="1"/>
        <v>2016.67</v>
      </c>
    </row>
    <row r="11" spans="1:7" ht="15">
      <c r="A11" s="159" t="s">
        <v>501</v>
      </c>
      <c r="B11" s="217">
        <f aca="true" t="shared" si="2" ref="B11:G11">(IF(B12-B13&lt;0,0,B12-B13))</f>
        <v>0</v>
      </c>
      <c r="C11" s="217">
        <f t="shared" si="2"/>
        <v>0</v>
      </c>
      <c r="D11" s="217">
        <f t="shared" si="2"/>
        <v>20474563.23</v>
      </c>
      <c r="E11" s="217">
        <f t="shared" si="2"/>
        <v>2241127.076666668</v>
      </c>
      <c r="F11" s="217">
        <f t="shared" si="2"/>
        <v>6022688.665555557</v>
      </c>
      <c r="G11" s="217">
        <f t="shared" si="2"/>
        <v>9579459.657407407</v>
      </c>
    </row>
    <row r="12" spans="1:7" ht="15">
      <c r="A12" s="159" t="s">
        <v>502</v>
      </c>
      <c r="B12" s="57">
        <v>17546881.59</v>
      </c>
      <c r="C12" s="467">
        <v>20648054.22</v>
      </c>
      <c r="D12" s="468">
        <v>23546471.28</v>
      </c>
      <c r="E12" s="161">
        <f aca="true" t="shared" si="3" ref="E12:G14">(B12+C12+D12)/3</f>
        <v>20580469.03</v>
      </c>
      <c r="F12" s="161">
        <f t="shared" si="3"/>
        <v>21591664.843333334</v>
      </c>
      <c r="G12" s="161">
        <f t="shared" si="3"/>
        <v>21906201.717777777</v>
      </c>
    </row>
    <row r="13" spans="1:7" ht="15">
      <c r="A13" s="159" t="s">
        <v>503</v>
      </c>
      <c r="B13" s="57">
        <v>26650439.28</v>
      </c>
      <c r="C13" s="467">
        <v>25295678.53</v>
      </c>
      <c r="D13" s="468">
        <f>2030935.46+1040972.59</f>
        <v>3071908.05</v>
      </c>
      <c r="E13" s="161">
        <f t="shared" si="3"/>
        <v>18339341.953333333</v>
      </c>
      <c r="F13" s="161">
        <f t="shared" si="3"/>
        <v>15568976.177777776</v>
      </c>
      <c r="G13" s="161">
        <f t="shared" si="3"/>
        <v>12326742.06037037</v>
      </c>
    </row>
    <row r="14" spans="1:7" ht="15">
      <c r="A14" s="159" t="s">
        <v>505</v>
      </c>
      <c r="B14" s="57">
        <v>636417.72</v>
      </c>
      <c r="C14" s="468">
        <v>632454.62</v>
      </c>
      <c r="D14" s="468">
        <v>644055.41</v>
      </c>
      <c r="E14" s="161">
        <f t="shared" si="3"/>
        <v>637642.5833333334</v>
      </c>
      <c r="F14" s="161">
        <f t="shared" si="3"/>
        <v>638050.8711111111</v>
      </c>
      <c r="G14" s="161">
        <f t="shared" si="3"/>
        <v>639916.2881481481</v>
      </c>
    </row>
    <row r="15" spans="1:7" ht="20.25" customHeight="1">
      <c r="A15" s="159" t="s">
        <v>504</v>
      </c>
      <c r="B15" s="160">
        <f aca="true" t="shared" si="4" ref="B15:G15">B7-B11-B14</f>
        <v>1037906.4799999997</v>
      </c>
      <c r="C15" s="160">
        <f t="shared" si="4"/>
        <v>305709.05000000005</v>
      </c>
      <c r="D15" s="160">
        <f t="shared" si="4"/>
        <v>-19985370.720000003</v>
      </c>
      <c r="E15" s="160">
        <f t="shared" si="4"/>
        <v>-1630191.0633333349</v>
      </c>
      <c r="F15" s="160">
        <f t="shared" si="4"/>
        <v>-5554076.141111112</v>
      </c>
      <c r="G15" s="160">
        <f t="shared" si="4"/>
        <v>-9056545.974814814</v>
      </c>
    </row>
    <row r="16" spans="1:7" ht="20.25" customHeight="1">
      <c r="A16" s="689" t="s">
        <v>616</v>
      </c>
      <c r="B16" s="690"/>
      <c r="C16" s="690"/>
      <c r="D16" s="691"/>
      <c r="E16" s="347">
        <f>E15/RCL!B15</f>
        <v>-0.01137914411464846</v>
      </c>
      <c r="F16" s="347">
        <f>F15/RCL!C15</f>
        <v>-0.03754160239490768</v>
      </c>
      <c r="G16" s="347">
        <f>G15/RCL!D15</f>
        <v>-0.05909087939111971</v>
      </c>
    </row>
    <row r="17" spans="1:7" s="34" customFormat="1" ht="15">
      <c r="A17" s="47"/>
      <c r="B17" s="48"/>
      <c r="C17" s="48"/>
      <c r="D17" s="48"/>
      <c r="E17" s="48"/>
      <c r="F17" s="48"/>
      <c r="G17" s="48"/>
    </row>
    <row r="18" spans="1:7" ht="15">
      <c r="A18" s="49" t="s">
        <v>507</v>
      </c>
      <c r="B18" s="58"/>
      <c r="C18" s="50"/>
      <c r="D18" s="50"/>
      <c r="E18" s="50"/>
      <c r="F18" s="50"/>
      <c r="G18" s="51" t="s">
        <v>5</v>
      </c>
    </row>
    <row r="19" spans="1:7" ht="15">
      <c r="A19" s="684" t="s">
        <v>143</v>
      </c>
      <c r="B19" s="157">
        <f>Parâmetros!B10</f>
        <v>2020</v>
      </c>
      <c r="C19" s="157">
        <f>B19+1</f>
        <v>2021</v>
      </c>
      <c r="D19" s="157">
        <f>C19+1</f>
        <v>2022</v>
      </c>
      <c r="E19" s="157">
        <f>D19+1</f>
        <v>2023</v>
      </c>
      <c r="F19" s="157">
        <f>E19+1</f>
        <v>2024</v>
      </c>
      <c r="G19" s="157">
        <f>F19+1</f>
        <v>2025</v>
      </c>
    </row>
    <row r="20" spans="1:7" ht="15">
      <c r="A20" s="684"/>
      <c r="B20" s="157" t="s">
        <v>10</v>
      </c>
      <c r="C20" s="158" t="s">
        <v>10</v>
      </c>
      <c r="D20" s="158" t="s">
        <v>120</v>
      </c>
      <c r="E20" s="158" t="s">
        <v>11</v>
      </c>
      <c r="F20" s="158" t="s">
        <v>11</v>
      </c>
      <c r="G20" s="158" t="s">
        <v>11</v>
      </c>
    </row>
    <row r="21" spans="1:7" s="35" customFormat="1" ht="15">
      <c r="A21" s="162" t="s">
        <v>38</v>
      </c>
      <c r="B21" s="163">
        <f>Projeções!E80</f>
        <v>0</v>
      </c>
      <c r="C21" s="163">
        <f>Projeções!F80</f>
        <v>0</v>
      </c>
      <c r="D21" s="163">
        <f>Projeções!G80</f>
        <v>0</v>
      </c>
      <c r="E21" s="59">
        <v>0</v>
      </c>
      <c r="F21" s="59">
        <v>0</v>
      </c>
      <c r="G21" s="59">
        <v>0</v>
      </c>
    </row>
    <row r="22" spans="1:7" ht="15">
      <c r="A22" s="159" t="s">
        <v>403</v>
      </c>
      <c r="B22" s="160">
        <f>Projeções!E126+Projeções!E127</f>
        <v>78892.41</v>
      </c>
      <c r="C22" s="160">
        <f>Projeções!F126+Projeções!F127</f>
        <v>66949.44</v>
      </c>
      <c r="D22" s="160">
        <f>Projeções!G126+Projeções!G127</f>
        <v>10160.72</v>
      </c>
      <c r="E22" s="160">
        <f>Projeções!H126+Projeções!H127</f>
        <v>68599.81786445642</v>
      </c>
      <c r="F22" s="160">
        <f>Projeções!I126+Projeções!I127</f>
        <v>73744.80420429065</v>
      </c>
      <c r="G22" s="160">
        <f>Projeções!J126+Projeções!J127</f>
        <v>78906.940498591</v>
      </c>
    </row>
    <row r="23" spans="1:7" ht="15">
      <c r="A23" s="159" t="s">
        <v>404</v>
      </c>
      <c r="B23" s="160">
        <f>Projeções!E151+Projeções!E152</f>
        <v>672104.74</v>
      </c>
      <c r="C23" s="160">
        <f>Projeções!F151+Projeções!F152</f>
        <v>0</v>
      </c>
      <c r="D23" s="160">
        <f>Projeções!G151+Projeções!G152</f>
        <v>0</v>
      </c>
      <c r="E23" s="160">
        <f>Projeções!H151+Projeções!H152</f>
        <v>289451.987311389</v>
      </c>
      <c r="F23" s="160">
        <f>Projeções!I151+Projeções!I152</f>
        <v>298714.4509053535</v>
      </c>
      <c r="G23" s="160">
        <f>Projeções!J151+Projeções!J152</f>
        <v>307675.8844325141</v>
      </c>
    </row>
    <row r="24" spans="1:7" ht="15.75" customHeight="1" hidden="1">
      <c r="A24" s="61" t="s">
        <v>35</v>
      </c>
      <c r="B24" s="60"/>
      <c r="C24" s="60"/>
      <c r="D24" s="60"/>
      <c r="E24" s="60"/>
      <c r="F24" s="60"/>
      <c r="G24" s="60"/>
    </row>
    <row r="25" spans="1:7" ht="12.75">
      <c r="A25" s="681" t="s">
        <v>185</v>
      </c>
      <c r="B25" s="682"/>
      <c r="C25" s="682"/>
      <c r="D25" s="682"/>
      <c r="E25" s="682"/>
      <c r="F25" s="682"/>
      <c r="G25" s="683"/>
    </row>
    <row r="26" spans="1:3" ht="12">
      <c r="A26" s="33"/>
      <c r="C26" s="30"/>
    </row>
    <row r="27" spans="1:3" ht="12">
      <c r="A27" s="33"/>
      <c r="C27" s="30"/>
    </row>
    <row r="28" spans="1:3" ht="12">
      <c r="A28" s="33"/>
      <c r="C28" s="30"/>
    </row>
    <row r="29" spans="1:3" ht="12">
      <c r="A29" s="33"/>
      <c r="C29" s="30"/>
    </row>
    <row r="30" spans="1:3" ht="12">
      <c r="A30" s="33"/>
      <c r="C30" s="30"/>
    </row>
    <row r="31" spans="1:3" ht="12">
      <c r="A31" s="33"/>
      <c r="C31" s="30"/>
    </row>
    <row r="32" ht="12">
      <c r="A32" s="36"/>
    </row>
    <row r="33" ht="12">
      <c r="A33" s="36"/>
    </row>
    <row r="34" ht="12">
      <c r="A34" s="36"/>
    </row>
    <row r="35" ht="12">
      <c r="A35" s="36"/>
    </row>
    <row r="36" ht="12">
      <c r="A36" s="36"/>
    </row>
    <row r="37" ht="12">
      <c r="A37" s="36"/>
    </row>
    <row r="38" ht="12">
      <c r="A38" s="36"/>
    </row>
    <row r="39" ht="12">
      <c r="A39" s="36"/>
    </row>
    <row r="40" ht="12">
      <c r="A40" s="36"/>
    </row>
    <row r="41" ht="12">
      <c r="A41" s="36"/>
    </row>
    <row r="42" ht="12">
      <c r="A42" s="36"/>
    </row>
    <row r="43" ht="12">
      <c r="A43" s="36"/>
    </row>
    <row r="44" ht="12">
      <c r="A44" s="36"/>
    </row>
    <row r="45" ht="12">
      <c r="A45" s="36"/>
    </row>
    <row r="47" spans="1:5" ht="15.75">
      <c r="A47" s="433"/>
      <c r="B47" s="5"/>
      <c r="C47" s="433"/>
      <c r="D47" s="5"/>
      <c r="E47" s="433"/>
    </row>
    <row r="48" spans="1:5" ht="15.75">
      <c r="A48" s="432" t="s">
        <v>656</v>
      </c>
      <c r="B48" s="1"/>
      <c r="C48" s="432" t="s">
        <v>653</v>
      </c>
      <c r="D48" s="11"/>
      <c r="E48" s="432" t="s">
        <v>654</v>
      </c>
    </row>
    <row r="49" spans="1:5" ht="15.75">
      <c r="A49" s="432" t="s">
        <v>662</v>
      </c>
      <c r="B49" s="1"/>
      <c r="C49" s="432" t="s">
        <v>657</v>
      </c>
      <c r="D49" s="11"/>
      <c r="E49" s="432" t="s">
        <v>661</v>
      </c>
    </row>
    <row r="50" spans="1:5" ht="15.75">
      <c r="A50" s="432" t="s">
        <v>658</v>
      </c>
      <c r="B50" s="1"/>
      <c r="C50" s="432" t="s">
        <v>659</v>
      </c>
      <c r="D50" s="11"/>
      <c r="E50" s="432" t="s">
        <v>660</v>
      </c>
    </row>
  </sheetData>
  <sheetProtection/>
  <mergeCells count="7">
    <mergeCell ref="A25:G25"/>
    <mergeCell ref="A19:A20"/>
    <mergeCell ref="A1:J1"/>
    <mergeCell ref="A2:J2"/>
    <mergeCell ref="A3:J3"/>
    <mergeCell ref="A5:A6"/>
    <mergeCell ref="A16:D16"/>
  </mergeCells>
  <printOptions/>
  <pageMargins left="0.787401575" right="0.787401575" top="0.984251969" bottom="0.984251969" header="0.492125985" footer="0.492125985"/>
  <pageSetup horizontalDpi="200" verticalDpi="200" orientation="landscape" scale="61" r:id="rId2"/>
  <drawing r:id="rId1"/>
</worksheet>
</file>

<file path=xl/worksheets/sheet7.xml><?xml version="1.0" encoding="utf-8"?>
<worksheet xmlns="http://schemas.openxmlformats.org/spreadsheetml/2006/main" xmlns:r="http://schemas.openxmlformats.org/officeDocument/2006/relationships">
  <dimension ref="A1:H90"/>
  <sheetViews>
    <sheetView view="pageBreakPreview" zoomScale="60" zoomScalePageLayoutView="0" workbookViewId="0" topLeftCell="A1">
      <selection activeCell="H16" sqref="H16"/>
    </sheetView>
  </sheetViews>
  <sheetFormatPr defaultColWidth="32.00390625" defaultRowHeight="12.75"/>
  <cols>
    <col min="1" max="1" width="62.28125" style="209" customWidth="1"/>
    <col min="2" max="2" width="12.57421875" style="409" bestFit="1" customWidth="1"/>
    <col min="3" max="3" width="12.57421875" style="417" bestFit="1" customWidth="1"/>
    <col min="4" max="7" width="12.57421875" style="410" bestFit="1" customWidth="1"/>
    <col min="8" max="16" width="13.7109375" style="209" customWidth="1"/>
    <col min="17" max="16384" width="32.00390625" style="209" customWidth="1"/>
  </cols>
  <sheetData>
    <row r="1" spans="1:8" ht="15">
      <c r="A1" s="692" t="str">
        <f>Parâmetros!A7</f>
        <v>Município de : Caçapava do Sul / RS.</v>
      </c>
      <c r="B1" s="693"/>
      <c r="C1" s="693"/>
      <c r="D1" s="693"/>
      <c r="E1" s="693"/>
      <c r="F1" s="693"/>
      <c r="G1" s="693"/>
      <c r="H1" s="469"/>
    </row>
    <row r="2" spans="1:8" ht="15">
      <c r="A2" s="695" t="s">
        <v>615</v>
      </c>
      <c r="B2" s="696"/>
      <c r="C2" s="696"/>
      <c r="D2" s="696"/>
      <c r="E2" s="696"/>
      <c r="F2" s="696"/>
      <c r="G2" s="696"/>
      <c r="H2" s="469"/>
    </row>
    <row r="3" spans="1:8" ht="15">
      <c r="A3" s="695" t="s">
        <v>541</v>
      </c>
      <c r="B3" s="696"/>
      <c r="C3" s="696"/>
      <c r="D3" s="696"/>
      <c r="E3" s="696"/>
      <c r="F3" s="696"/>
      <c r="G3" s="696"/>
      <c r="H3" s="469"/>
    </row>
    <row r="4" spans="1:3" ht="15">
      <c r="A4" s="210"/>
      <c r="C4" s="410"/>
    </row>
    <row r="5" spans="1:7" ht="15">
      <c r="A5" s="694" t="s">
        <v>422</v>
      </c>
      <c r="B5" s="411">
        <f>Parâmetros!B10</f>
        <v>2020</v>
      </c>
      <c r="C5" s="411">
        <f>B5+1</f>
        <v>2021</v>
      </c>
      <c r="D5" s="411">
        <f>C5+1</f>
        <v>2022</v>
      </c>
      <c r="E5" s="411">
        <f>D5+1</f>
        <v>2023</v>
      </c>
      <c r="F5" s="411">
        <f>E5+1</f>
        <v>2024</v>
      </c>
      <c r="G5" s="411">
        <f>F5+1</f>
        <v>2025</v>
      </c>
    </row>
    <row r="6" spans="1:7" ht="12.75" customHeight="1">
      <c r="A6" s="694"/>
      <c r="B6" s="411" t="s">
        <v>423</v>
      </c>
      <c r="C6" s="411" t="s">
        <v>423</v>
      </c>
      <c r="D6" s="412" t="s">
        <v>424</v>
      </c>
      <c r="E6" s="412" t="s">
        <v>424</v>
      </c>
      <c r="F6" s="412" t="s">
        <v>424</v>
      </c>
      <c r="G6" s="412" t="s">
        <v>424</v>
      </c>
    </row>
    <row r="7" spans="1:7" ht="19.5" customHeight="1">
      <c r="A7" s="201" t="s">
        <v>512</v>
      </c>
      <c r="B7" s="413">
        <f>Projeções!E8+Projeções!E104-Projeções!E108</f>
        <v>111554827.138</v>
      </c>
      <c r="C7" s="413">
        <f>Projeções!F8+Projeções!F104-Projeções!F108</f>
        <v>125445277.99800004</v>
      </c>
      <c r="D7" s="413">
        <f>Projeções!G8+Projeções!G104-Projeções!G108</f>
        <v>138256016.67000002</v>
      </c>
      <c r="E7" s="413">
        <f>Projeções!H8+Projeções!H104-Projeções!H108</f>
        <v>154717331.20043346</v>
      </c>
      <c r="F7" s="413">
        <f>Projeções!I8+Projeções!I104-Projeções!I108</f>
        <v>160328439.3040138</v>
      </c>
      <c r="G7" s="413">
        <f>Projeções!J8+Projeções!J104-Projeções!J108</f>
        <v>166579284.72123253</v>
      </c>
    </row>
    <row r="8" spans="1:7" ht="19.5" customHeight="1">
      <c r="A8" s="202" t="s">
        <v>425</v>
      </c>
      <c r="B8" s="413">
        <f>Projeções!E25-Projeções!E28</f>
        <v>98834.60999999987</v>
      </c>
      <c r="C8" s="413">
        <f>Projeções!F25-Projeções!F28</f>
        <v>459510.06000000006</v>
      </c>
      <c r="D8" s="413">
        <f>Projeções!G25-Projeções!G28</f>
        <v>1861140.5</v>
      </c>
      <c r="E8" s="413">
        <f>Projeções!H25-Projeções!H28</f>
        <v>937958.8176161083</v>
      </c>
      <c r="F8" s="413">
        <f>Projeções!I25-Projeções!I28</f>
        <v>987332.9697754206</v>
      </c>
      <c r="G8" s="413">
        <f>Projeções!J25-Projeções!J28</f>
        <v>1037292.0180460569</v>
      </c>
    </row>
    <row r="9" spans="1:7" ht="19.5" customHeight="1">
      <c r="A9" s="202" t="s">
        <v>426</v>
      </c>
      <c r="B9" s="414">
        <f>Projeções!E28</f>
        <v>2429706.77</v>
      </c>
      <c r="C9" s="414">
        <f>Projeções!F28</f>
        <v>1456072.0999999999</v>
      </c>
      <c r="D9" s="414">
        <f>Projeções!G28</f>
        <v>3587521.2</v>
      </c>
      <c r="E9" s="414">
        <f>Projeções!H28</f>
        <v>3019335.2105439464</v>
      </c>
      <c r="F9" s="414">
        <f>Projeções!I28</f>
        <v>3178273.0160269802</v>
      </c>
      <c r="G9" s="414">
        <f>Projeções!J28</f>
        <v>3339093.6306379456</v>
      </c>
    </row>
    <row r="10" spans="1:7" ht="19.5" customHeight="1">
      <c r="A10" s="202" t="s">
        <v>427</v>
      </c>
      <c r="B10" s="414">
        <f>Projeções!E37+Projeções!E70+Projeções!E75+Projeções!E77</f>
        <v>0</v>
      </c>
      <c r="C10" s="414">
        <f>Projeções!F37+Projeções!F70+Projeções!F75+Projeções!F77</f>
        <v>0</v>
      </c>
      <c r="D10" s="414">
        <f>Projeções!G37+Projeções!G70+Projeções!G75+Projeções!G77</f>
        <v>0</v>
      </c>
      <c r="E10" s="414">
        <f>Projeções!H37+Projeções!H70+Projeções!H75+Projeções!H77</f>
        <v>0</v>
      </c>
      <c r="F10" s="414">
        <f>Projeções!I37+Projeções!I70+Projeções!I75+Projeções!I77</f>
        <v>0</v>
      </c>
      <c r="G10" s="414">
        <f>Projeções!J37+Projeções!J70+Projeções!J75+Projeções!J77</f>
        <v>0</v>
      </c>
    </row>
    <row r="11" spans="1:7" ht="19.5" customHeight="1">
      <c r="A11" s="201" t="s">
        <v>454</v>
      </c>
      <c r="B11" s="415">
        <f aca="true" t="shared" si="0" ref="B11:G11">B7-B8-B9-B10</f>
        <v>109026285.758</v>
      </c>
      <c r="C11" s="415">
        <f t="shared" si="0"/>
        <v>123529695.83800004</v>
      </c>
      <c r="D11" s="415">
        <f t="shared" si="0"/>
        <v>132807354.97000001</v>
      </c>
      <c r="E11" s="415">
        <f t="shared" si="0"/>
        <v>150760037.1722734</v>
      </c>
      <c r="F11" s="415">
        <f t="shared" si="0"/>
        <v>156162833.3182114</v>
      </c>
      <c r="G11" s="415">
        <f t="shared" si="0"/>
        <v>162202899.07254854</v>
      </c>
    </row>
    <row r="12" spans="1:7" ht="19.5" customHeight="1">
      <c r="A12" s="201"/>
      <c r="B12" s="415"/>
      <c r="C12" s="415"/>
      <c r="D12" s="415"/>
      <c r="E12" s="415"/>
      <c r="F12" s="415"/>
      <c r="G12" s="415"/>
    </row>
    <row r="13" spans="1:7" ht="19.5" customHeight="1">
      <c r="A13" s="203" t="s">
        <v>513</v>
      </c>
      <c r="B13" s="415">
        <f>Projeções!E79+Projeções!E108</f>
        <v>837429.07</v>
      </c>
      <c r="C13" s="415">
        <f>Projeções!F79+Projeções!F108</f>
        <v>1012203.26</v>
      </c>
      <c r="D13" s="415">
        <f>Projeções!G79+Projeções!G108</f>
        <v>3141898.3600000003</v>
      </c>
      <c r="E13" s="415">
        <f>Projeções!H79+Projeções!H108</f>
        <v>1972195.0828030498</v>
      </c>
      <c r="F13" s="415">
        <f>Projeções!I79+Projeções!I108</f>
        <v>2074521.096519728</v>
      </c>
      <c r="G13" s="415">
        <f>Projeções!J79+Projeções!J108</f>
        <v>2177222.3625838202</v>
      </c>
    </row>
    <row r="14" spans="1:7" ht="19.5" customHeight="1">
      <c r="A14" s="204" t="s">
        <v>428</v>
      </c>
      <c r="B14" s="414">
        <f>Projeções!E80</f>
        <v>0</v>
      </c>
      <c r="C14" s="414">
        <f>Projeções!F80</f>
        <v>0</v>
      </c>
      <c r="D14" s="414">
        <f>Projeções!G80</f>
        <v>0</v>
      </c>
      <c r="E14" s="414">
        <f>Projeções!H80</f>
        <v>0</v>
      </c>
      <c r="F14" s="414">
        <f>Projeções!I80</f>
        <v>0</v>
      </c>
      <c r="G14" s="414">
        <f>Projeções!J80</f>
        <v>0</v>
      </c>
    </row>
    <row r="15" spans="1:7" ht="19.5" customHeight="1">
      <c r="A15" s="204" t="s">
        <v>429</v>
      </c>
      <c r="B15" s="414">
        <f>Projeções!E86</f>
        <v>6247.57</v>
      </c>
      <c r="C15" s="414">
        <f>Projeções!F86</f>
        <v>1085.6</v>
      </c>
      <c r="D15" s="414">
        <f>Projeções!G86</f>
        <v>351.8</v>
      </c>
      <c r="E15" s="414">
        <f>Projeções!H86</f>
        <v>3269.627460741292</v>
      </c>
      <c r="F15" s="414">
        <f>Projeções!I86</f>
        <v>3374.2555394850133</v>
      </c>
      <c r="G15" s="414">
        <f>Projeções!J86</f>
        <v>3475.4832056695636</v>
      </c>
    </row>
    <row r="16" spans="1:7" ht="19.5" customHeight="1">
      <c r="A16" s="204" t="s">
        <v>430</v>
      </c>
      <c r="B16" s="414">
        <f>Projeções!E82+Projeções!E83</f>
        <v>3015.15</v>
      </c>
      <c r="C16" s="414">
        <f>Projeções!F82+Projeções!F83</f>
        <v>0</v>
      </c>
      <c r="D16" s="414">
        <f>Projeções!G82+Projeções!G83</f>
        <v>0</v>
      </c>
      <c r="E16" s="414">
        <f>Projeções!H82+Projeções!H83</f>
        <v>784.6927875</v>
      </c>
      <c r="F16" s="414">
        <f>Projeções!I82+Projeções!I83</f>
        <v>980.359439175</v>
      </c>
      <c r="G16" s="414">
        <f>Projeções!J82+Projeções!J83</f>
        <v>454.5009483688125</v>
      </c>
    </row>
    <row r="17" spans="1:7" ht="19.5" customHeight="1">
      <c r="A17" s="204" t="s">
        <v>431</v>
      </c>
      <c r="B17" s="414">
        <f>Projeções!E97</f>
        <v>0</v>
      </c>
      <c r="C17" s="414">
        <f>Projeções!F97</f>
        <v>47602.39</v>
      </c>
      <c r="D17" s="414">
        <f>Projeções!G97</f>
        <v>151721.2</v>
      </c>
      <c r="E17" s="414">
        <f>Projeções!H97</f>
        <v>76415.2497396172</v>
      </c>
      <c r="F17" s="414">
        <f>Projeções!I97</f>
        <v>78860.53773128495</v>
      </c>
      <c r="G17" s="414">
        <f>Projeções!J97</f>
        <v>81226.3538632235</v>
      </c>
    </row>
    <row r="18" spans="1:7" ht="19.5" customHeight="1">
      <c r="A18" s="203" t="s">
        <v>455</v>
      </c>
      <c r="B18" s="415">
        <f aca="true" t="shared" si="1" ref="B18:G18">B13-B14-B15-B16-B17</f>
        <v>828166.35</v>
      </c>
      <c r="C18" s="415">
        <f t="shared" si="1"/>
        <v>963515.27</v>
      </c>
      <c r="D18" s="415">
        <f t="shared" si="1"/>
        <v>2989825.3600000003</v>
      </c>
      <c r="E18" s="415">
        <f t="shared" si="1"/>
        <v>1891725.5128151914</v>
      </c>
      <c r="F18" s="415">
        <f t="shared" si="1"/>
        <v>1991305.9438097829</v>
      </c>
      <c r="G18" s="415">
        <f t="shared" si="1"/>
        <v>2092066.0245665582</v>
      </c>
    </row>
    <row r="19" spans="1:7" s="211" customFormat="1" ht="19.5" customHeight="1">
      <c r="A19" s="205" t="s">
        <v>456</v>
      </c>
      <c r="B19" s="416">
        <f aca="true" t="shared" si="2" ref="B19:G19">B11+B18</f>
        <v>109854452.108</v>
      </c>
      <c r="C19" s="416">
        <f t="shared" si="2"/>
        <v>124493211.10800004</v>
      </c>
      <c r="D19" s="416">
        <f t="shared" si="2"/>
        <v>135797180.33</v>
      </c>
      <c r="E19" s="416">
        <f t="shared" si="2"/>
        <v>152651762.68508857</v>
      </c>
      <c r="F19" s="416">
        <f t="shared" si="2"/>
        <v>158154139.26202118</v>
      </c>
      <c r="G19" s="416">
        <f t="shared" si="2"/>
        <v>164294965.0971151</v>
      </c>
    </row>
    <row r="20" ht="15">
      <c r="A20" s="212"/>
    </row>
    <row r="21" spans="1:7" ht="15">
      <c r="A21" s="694" t="s">
        <v>449</v>
      </c>
      <c r="B21" s="411">
        <f>B5</f>
        <v>2020</v>
      </c>
      <c r="C21" s="411">
        <f>B21+1</f>
        <v>2021</v>
      </c>
      <c r="D21" s="411">
        <f>C21+1</f>
        <v>2022</v>
      </c>
      <c r="E21" s="411">
        <f>D21+1</f>
        <v>2023</v>
      </c>
      <c r="F21" s="411">
        <f>E21+1</f>
        <v>2024</v>
      </c>
      <c r="G21" s="411">
        <f>F21+1</f>
        <v>2025</v>
      </c>
    </row>
    <row r="22" spans="1:7" ht="15">
      <c r="A22" s="694"/>
      <c r="B22" s="411" t="s">
        <v>459</v>
      </c>
      <c r="C22" s="411" t="s">
        <v>459</v>
      </c>
      <c r="D22" s="412" t="s">
        <v>460</v>
      </c>
      <c r="E22" s="412" t="s">
        <v>424</v>
      </c>
      <c r="F22" s="412" t="s">
        <v>424</v>
      </c>
      <c r="G22" s="412" t="s">
        <v>424</v>
      </c>
    </row>
    <row r="23" spans="1:7" ht="15">
      <c r="A23" s="201" t="s">
        <v>514</v>
      </c>
      <c r="B23" s="418">
        <f>Projeções!E118-Projeções!E124-Projeções!E130-Projeções!E136</f>
        <v>102725611.49</v>
      </c>
      <c r="C23" s="418">
        <f>Projeções!F118-Projeções!F124-Projeções!F130-Projeções!F136</f>
        <v>111363128.13000001</v>
      </c>
      <c r="D23" s="418">
        <f>Projeções!G118-Projeções!G124-Projeções!G130-Projeções!G136</f>
        <v>125561337.44</v>
      </c>
      <c r="E23" s="418">
        <f>Projeções!H118-Projeções!H124-Projeções!H130-Projeções!H136</f>
        <v>143218487.0413041</v>
      </c>
      <c r="F23" s="418">
        <f>Projeções!I118-Projeções!I124-Projeções!I130-Projeções!I136</f>
        <v>154619965.83729607</v>
      </c>
      <c r="G23" s="418">
        <f>Projeções!J118-Projeções!J124-Projeções!J130-Projeções!J136</f>
        <v>164584265.14344996</v>
      </c>
    </row>
    <row r="24" spans="1:7" ht="15">
      <c r="A24" s="202" t="s">
        <v>450</v>
      </c>
      <c r="B24" s="413">
        <f>Projeções!E125-Projeções!E130</f>
        <v>84471.53</v>
      </c>
      <c r="C24" s="413">
        <f>Projeções!F125-Projeções!F130</f>
        <v>66949.44</v>
      </c>
      <c r="D24" s="413">
        <f>Projeções!G125-Projeções!G130</f>
        <v>10160.72</v>
      </c>
      <c r="E24" s="413">
        <f>Projeções!H125-Projeções!H130</f>
        <v>70535.77250445641</v>
      </c>
      <c r="F24" s="413">
        <f>Projeções!I125-Projeções!I130</f>
        <v>74410.77260045064</v>
      </c>
      <c r="G24" s="413">
        <f>Projeções!J125-Projeções!J130</f>
        <v>79800.2674076726</v>
      </c>
    </row>
    <row r="25" spans="1:7" ht="15">
      <c r="A25" s="201" t="s">
        <v>457</v>
      </c>
      <c r="B25" s="415">
        <f aca="true" t="shared" si="3" ref="B25:G25">B23-B24</f>
        <v>102641139.96</v>
      </c>
      <c r="C25" s="415">
        <f t="shared" si="3"/>
        <v>111296178.69000001</v>
      </c>
      <c r="D25" s="415">
        <f t="shared" si="3"/>
        <v>125551176.72</v>
      </c>
      <c r="E25" s="415">
        <f t="shared" si="3"/>
        <v>143147951.26879966</v>
      </c>
      <c r="F25" s="415">
        <f t="shared" si="3"/>
        <v>154545555.06469563</v>
      </c>
      <c r="G25" s="415">
        <f t="shared" si="3"/>
        <v>164504464.87604228</v>
      </c>
    </row>
    <row r="26" spans="1:7" ht="15">
      <c r="A26" s="201"/>
      <c r="B26" s="415"/>
      <c r="C26" s="415"/>
      <c r="D26" s="415"/>
      <c r="E26" s="415"/>
      <c r="F26" s="415"/>
      <c r="G26" s="415"/>
    </row>
    <row r="27" spans="1:7" ht="15">
      <c r="A27" s="203" t="s">
        <v>515</v>
      </c>
      <c r="B27" s="415">
        <f>Projeções!E137-Projeções!E143-Projeções!E149-Projeções!E155</f>
        <v>6422805.159999999</v>
      </c>
      <c r="C27" s="415">
        <f>Projeções!F137-Projeções!F143-Projeções!F149-Projeções!F155</f>
        <v>3176265.3300000005</v>
      </c>
      <c r="D27" s="415">
        <f>Projeções!G137-Projeções!G143-Projeções!G149-Projeções!G155</f>
        <v>2882467.0700000003</v>
      </c>
      <c r="E27" s="415">
        <f>Projeções!H137-Projeções!H143-Projeções!H149-Projeções!H155</f>
        <v>5490857.703915376</v>
      </c>
      <c r="F27" s="415">
        <f>Projeções!I137-Projeções!I143-Projeções!I149-Projeções!I155</f>
        <v>4962513.323951944</v>
      </c>
      <c r="G27" s="415">
        <f>Projeções!J137-Projeções!J143-Projeções!J149-Projeções!J155</f>
        <v>4877235.055926366</v>
      </c>
    </row>
    <row r="28" spans="1:7" ht="15">
      <c r="A28" s="204" t="s">
        <v>451</v>
      </c>
      <c r="B28" s="414">
        <f>Projeções!E145</f>
        <v>0</v>
      </c>
      <c r="C28" s="414">
        <f>Projeções!F145</f>
        <v>0</v>
      </c>
      <c r="D28" s="414">
        <f>Projeções!G145</f>
        <v>0</v>
      </c>
      <c r="E28" s="414">
        <f>Projeções!H145</f>
        <v>0</v>
      </c>
      <c r="F28" s="414">
        <f>Projeções!I145</f>
        <v>0</v>
      </c>
      <c r="G28" s="414">
        <f>Projeções!J145</f>
        <v>0</v>
      </c>
    </row>
    <row r="29" spans="1:7" ht="15">
      <c r="A29" s="204" t="s">
        <v>523</v>
      </c>
      <c r="B29" s="414"/>
      <c r="C29" s="414"/>
      <c r="D29" s="414"/>
      <c r="E29" s="414"/>
      <c r="F29" s="414"/>
      <c r="G29" s="414"/>
    </row>
    <row r="30" spans="1:7" ht="15">
      <c r="A30" s="204" t="s">
        <v>452</v>
      </c>
      <c r="B30" s="414"/>
      <c r="C30" s="414"/>
      <c r="D30" s="414"/>
      <c r="E30" s="414"/>
      <c r="F30" s="414"/>
      <c r="G30" s="414"/>
    </row>
    <row r="31" spans="1:7" ht="15">
      <c r="A31" s="204" t="s">
        <v>453</v>
      </c>
      <c r="B31" s="414">
        <f>Projeções!E150-Projeções!E155</f>
        <v>696863.47</v>
      </c>
      <c r="C31" s="414">
        <f>Projeções!F150-Projeções!F155</f>
        <v>297104.76</v>
      </c>
      <c r="D31" s="414">
        <f>Projeções!G150-Projeções!G155</f>
        <v>0</v>
      </c>
      <c r="E31" s="414">
        <f>Projeções!H150-Projeções!H155</f>
        <v>401138.618341389</v>
      </c>
      <c r="F31" s="414">
        <f>Projeções!I150-Projeções!I155</f>
        <v>439338.6894196735</v>
      </c>
      <c r="G31" s="414">
        <f>Projeções!J150-Projeções!J155</f>
        <v>394302.6163093973</v>
      </c>
    </row>
    <row r="32" spans="1:7" ht="15">
      <c r="A32" s="203" t="s">
        <v>458</v>
      </c>
      <c r="B32" s="415">
        <f aca="true" t="shared" si="4" ref="B32:G32">B27-B28-B29-B30-B31</f>
        <v>5725941.6899999995</v>
      </c>
      <c r="C32" s="415">
        <f t="shared" si="4"/>
        <v>2879160.5700000003</v>
      </c>
      <c r="D32" s="415">
        <f t="shared" si="4"/>
        <v>2882467.0700000003</v>
      </c>
      <c r="E32" s="415">
        <f t="shared" si="4"/>
        <v>5089719.085573987</v>
      </c>
      <c r="F32" s="415">
        <f t="shared" si="4"/>
        <v>4523174.63453227</v>
      </c>
      <c r="G32" s="415">
        <f t="shared" si="4"/>
        <v>4482932.439616969</v>
      </c>
    </row>
    <row r="33" spans="1:7" ht="15">
      <c r="A33" s="205" t="s">
        <v>549</v>
      </c>
      <c r="B33" s="416">
        <f aca="true" t="shared" si="5" ref="B33:G33">B25+B32</f>
        <v>108367081.64999999</v>
      </c>
      <c r="C33" s="416">
        <f t="shared" si="5"/>
        <v>114175339.26000002</v>
      </c>
      <c r="D33" s="416">
        <f t="shared" si="5"/>
        <v>128433643.78999999</v>
      </c>
      <c r="E33" s="416">
        <f t="shared" si="5"/>
        <v>148237670.35437366</v>
      </c>
      <c r="F33" s="416">
        <f t="shared" si="5"/>
        <v>159068729.6992279</v>
      </c>
      <c r="G33" s="416">
        <f t="shared" si="5"/>
        <v>168987397.31565925</v>
      </c>
    </row>
    <row r="34" spans="1:7" ht="15">
      <c r="A34" s="300" t="s">
        <v>548</v>
      </c>
      <c r="B34" s="419"/>
      <c r="C34" s="419"/>
      <c r="D34" s="419"/>
      <c r="E34" s="416">
        <f>Projeções!H156+Projeções!H157</f>
        <v>11943028.924526844</v>
      </c>
      <c r="F34" s="416">
        <f>Projeções!I156+Projeções!I157</f>
        <v>5200251.882120507</v>
      </c>
      <c r="G34" s="416">
        <f>Projeções!J156+Projeções!J157</f>
        <v>3832443.8245159667</v>
      </c>
    </row>
    <row r="35" spans="1:7" ht="15">
      <c r="A35" s="205" t="s">
        <v>550</v>
      </c>
      <c r="B35" s="419"/>
      <c r="C35" s="419"/>
      <c r="D35" s="419"/>
      <c r="E35" s="416">
        <f>E33+E34</f>
        <v>160180699.2789005</v>
      </c>
      <c r="F35" s="416">
        <f>F33+F34</f>
        <v>164268981.58134842</v>
      </c>
      <c r="G35" s="416">
        <f>G33+G34</f>
        <v>172819841.14017522</v>
      </c>
    </row>
    <row r="36" spans="1:7" ht="15">
      <c r="A36" s="205"/>
      <c r="B36" s="419"/>
      <c r="C36" s="419"/>
      <c r="D36" s="419"/>
      <c r="E36" s="416"/>
      <c r="F36" s="416"/>
      <c r="G36" s="416"/>
    </row>
    <row r="37" spans="1:7" ht="15">
      <c r="A37" s="214" t="s">
        <v>551</v>
      </c>
      <c r="B37" s="420">
        <f>B19-B33</f>
        <v>1487370.4580000043</v>
      </c>
      <c r="C37" s="420">
        <f>C19-C33</f>
        <v>10317871.84800002</v>
      </c>
      <c r="D37" s="420">
        <f>D19-D33</f>
        <v>7363536.540000021</v>
      </c>
      <c r="E37" s="420">
        <f>E19-E35</f>
        <v>-7528936.593811929</v>
      </c>
      <c r="F37" s="420">
        <f>F19-F35</f>
        <v>-6114842.319327235</v>
      </c>
      <c r="G37" s="420">
        <f>G19-G35</f>
        <v>-8524876.043060124</v>
      </c>
    </row>
    <row r="39" spans="1:7" ht="15">
      <c r="A39" s="694" t="s">
        <v>461</v>
      </c>
      <c r="B39" s="411">
        <f>B21</f>
        <v>2020</v>
      </c>
      <c r="C39" s="411">
        <f>B39+1</f>
        <v>2021</v>
      </c>
      <c r="D39" s="411">
        <f>C39+1</f>
        <v>2022</v>
      </c>
      <c r="E39" s="411">
        <f>D39+1</f>
        <v>2023</v>
      </c>
      <c r="F39" s="411">
        <f>E39+1</f>
        <v>2024</v>
      </c>
      <c r="G39" s="411">
        <f>F39+1</f>
        <v>2025</v>
      </c>
    </row>
    <row r="40" spans="1:7" ht="15.75" thickBot="1">
      <c r="A40" s="694"/>
      <c r="B40" s="411" t="s">
        <v>119</v>
      </c>
      <c r="C40" s="411" t="s">
        <v>119</v>
      </c>
      <c r="D40" s="412" t="s">
        <v>119</v>
      </c>
      <c r="E40" s="412" t="s">
        <v>424</v>
      </c>
      <c r="F40" s="412" t="s">
        <v>424</v>
      </c>
      <c r="G40" s="412" t="s">
        <v>424</v>
      </c>
    </row>
    <row r="41" spans="1:7" ht="30.75" thickBot="1">
      <c r="A41" s="206" t="s">
        <v>462</v>
      </c>
      <c r="B41" s="421"/>
      <c r="C41" s="421"/>
      <c r="D41" s="421"/>
      <c r="E41" s="414">
        <f>((B41+C41+D41)/3)*(1+Parâmetros!E21)</f>
        <v>0</v>
      </c>
      <c r="F41" s="414">
        <f>((C41+D41+E41)/3)*(1+Parâmetros!F21)</f>
        <v>0</v>
      </c>
      <c r="G41" s="414">
        <f>((D41+E41+F41)/3)*(1+Parâmetros!G21)</f>
        <v>0</v>
      </c>
    </row>
    <row r="42" spans="1:7" ht="30.75" thickBot="1">
      <c r="A42" s="207" t="s">
        <v>463</v>
      </c>
      <c r="B42" s="421">
        <v>0</v>
      </c>
      <c r="C42" s="421">
        <v>0</v>
      </c>
      <c r="D42" s="421">
        <v>0</v>
      </c>
      <c r="E42" s="414">
        <f>((B42+C42+D42)/3)*(1+Parâmetros!E21)</f>
        <v>0</v>
      </c>
      <c r="F42" s="414">
        <f>((C42+D42+E42)/3)*(1+Parâmetros!F21)</f>
        <v>0</v>
      </c>
      <c r="G42" s="414">
        <f>((D42+E42+F42)/3)*(1+Parâmetros!G21)</f>
        <v>0</v>
      </c>
    </row>
    <row r="43" spans="1:7" ht="30.75" thickBot="1">
      <c r="A43" s="207" t="s">
        <v>464</v>
      </c>
      <c r="B43" s="421">
        <v>0</v>
      </c>
      <c r="C43" s="421">
        <v>0</v>
      </c>
      <c r="D43" s="421">
        <v>0</v>
      </c>
      <c r="E43" s="414">
        <f>((B43+C43+D43)/3)*(1+Parâmetros!E21)</f>
        <v>0</v>
      </c>
      <c r="F43" s="414">
        <f>((C43+D43+E43)/3)*(1+Parâmetros!F21)</f>
        <v>0</v>
      </c>
      <c r="G43" s="414">
        <f>((D43+E43+F43)/3)*(1+Parâmetros!G21)</f>
        <v>0</v>
      </c>
    </row>
    <row r="44" spans="1:7" ht="30.75" thickBot="1">
      <c r="A44" s="207" t="s">
        <v>465</v>
      </c>
      <c r="B44" s="421">
        <v>0</v>
      </c>
      <c r="C44" s="421">
        <v>0</v>
      </c>
      <c r="D44" s="421">
        <v>0</v>
      </c>
      <c r="E44" s="414">
        <f>((B44+C44+D44)/3)*(1+Parâmetros!E21)</f>
        <v>0</v>
      </c>
      <c r="F44" s="414">
        <f>((C44+D44+E44)/3)*(1+Parâmetros!F21)</f>
        <v>0</v>
      </c>
      <c r="G44" s="414">
        <f>((D44+E44+F44)/3)*(1+Parâmetros!G21)</f>
        <v>0</v>
      </c>
    </row>
    <row r="45" spans="1:7" ht="30.75" thickBot="1">
      <c r="A45" s="207" t="s">
        <v>466</v>
      </c>
      <c r="B45" s="421">
        <v>0</v>
      </c>
      <c r="C45" s="421">
        <v>0</v>
      </c>
      <c r="D45" s="421">
        <v>0</v>
      </c>
      <c r="E45" s="414">
        <f>((B45+C45+D45)/3)*(1+Parâmetros!E21)</f>
        <v>0</v>
      </c>
      <c r="F45" s="414">
        <f>((C45+D45+E45)/3)*(1+Parâmetros!F21)</f>
        <v>0</v>
      </c>
      <c r="G45" s="414">
        <f>((D45+E45+F45)/3)*(1+Parâmetros!G21)</f>
        <v>0</v>
      </c>
    </row>
    <row r="46" spans="1:7" ht="30.75" thickBot="1">
      <c r="A46" s="207" t="s">
        <v>467</v>
      </c>
      <c r="B46" s="421">
        <v>0</v>
      </c>
      <c r="C46" s="421">
        <v>0</v>
      </c>
      <c r="D46" s="421">
        <v>0</v>
      </c>
      <c r="E46" s="414">
        <f>((B46+C46+D46)/3)*(1+Parâmetros!E21)</f>
        <v>0</v>
      </c>
      <c r="F46" s="414">
        <f>((C46+D46+E46)/3)*(1+Parâmetros!F21)</f>
        <v>0</v>
      </c>
      <c r="G46" s="414">
        <f>((D46+E46+F46)/3)*(1+Parâmetros!G21)</f>
        <v>0</v>
      </c>
    </row>
    <row r="47" spans="1:7" ht="30.75" thickBot="1">
      <c r="A47" s="207" t="s">
        <v>468</v>
      </c>
      <c r="B47" s="421">
        <v>0</v>
      </c>
      <c r="C47" s="421">
        <v>0</v>
      </c>
      <c r="D47" s="421">
        <v>0</v>
      </c>
      <c r="E47" s="414">
        <f>((B47+C47+D47)/3)*(1+Parâmetros!E21)</f>
        <v>0</v>
      </c>
      <c r="F47" s="414">
        <f>((C47+D47+E47)/3)*(1+Parâmetros!F21)</f>
        <v>0</v>
      </c>
      <c r="G47" s="414">
        <f>((D47+E47+F47)/3)*(1+Parâmetros!G21)</f>
        <v>0</v>
      </c>
    </row>
    <row r="48" spans="1:7" ht="30.75" thickBot="1">
      <c r="A48" s="207" t="s">
        <v>469</v>
      </c>
      <c r="B48" s="421">
        <v>0</v>
      </c>
      <c r="C48" s="421">
        <v>0</v>
      </c>
      <c r="D48" s="421">
        <v>0</v>
      </c>
      <c r="E48" s="414">
        <f>((B48+C48+D48)/3)*(1+Parâmetros!E21)</f>
        <v>0</v>
      </c>
      <c r="F48" s="414">
        <f>((C48+D48+E48)/3)*(1+Parâmetros!F21)</f>
        <v>0</v>
      </c>
      <c r="G48" s="414">
        <f>((D48+E48+F48)/3)*(1+Parâmetros!G21)</f>
        <v>0</v>
      </c>
    </row>
    <row r="49" spans="1:7" ht="30.75" thickBot="1">
      <c r="A49" s="207" t="s">
        <v>470</v>
      </c>
      <c r="B49" s="421">
        <v>0</v>
      </c>
      <c r="C49" s="421">
        <v>0</v>
      </c>
      <c r="D49" s="421">
        <v>0</v>
      </c>
      <c r="E49" s="414">
        <f>((B49+C49+D49)/3)*(1+Parâmetros!E21)</f>
        <v>0</v>
      </c>
      <c r="F49" s="414">
        <f>((C49+D49+E49)/3)*(1+Parâmetros!F21)</f>
        <v>0</v>
      </c>
      <c r="G49" s="414">
        <f>((D49+E49+F49)/3)*(1+Parâmetros!G21)</f>
        <v>0</v>
      </c>
    </row>
    <row r="50" spans="1:7" ht="30.75" thickBot="1">
      <c r="A50" s="207" t="s">
        <v>471</v>
      </c>
      <c r="B50" s="421">
        <v>0</v>
      </c>
      <c r="C50" s="421">
        <v>0</v>
      </c>
      <c r="D50" s="421">
        <v>0</v>
      </c>
      <c r="E50" s="414">
        <f>((B50+C50+D50)/3)*(1+Parâmetros!E21)</f>
        <v>0</v>
      </c>
      <c r="F50" s="414">
        <f>((C50+D50+E50)/3)*(1+Parâmetros!F21)</f>
        <v>0</v>
      </c>
      <c r="G50" s="414">
        <f>((D50+E50+F50)/3)*(1+Parâmetros!G21)</f>
        <v>0</v>
      </c>
    </row>
    <row r="51" spans="1:7" ht="30.75" thickBot="1">
      <c r="A51" s="207" t="s">
        <v>472</v>
      </c>
      <c r="B51" s="421">
        <v>0</v>
      </c>
      <c r="C51" s="421">
        <v>0</v>
      </c>
      <c r="D51" s="421">
        <v>0</v>
      </c>
      <c r="E51" s="414">
        <f>((B51+C51+D51)/3)*(1+Parâmetros!E21)</f>
        <v>0</v>
      </c>
      <c r="F51" s="414">
        <f>((C51+D51+E51)/3)*(1+Parâmetros!F21)</f>
        <v>0</v>
      </c>
      <c r="G51" s="414">
        <f>((D51+E51+F51)/3)*(1+Parâmetros!G21)</f>
        <v>0</v>
      </c>
    </row>
    <row r="52" spans="1:7" ht="30.75" thickBot="1">
      <c r="A52" s="207" t="s">
        <v>473</v>
      </c>
      <c r="B52" s="421">
        <v>0</v>
      </c>
      <c r="C52" s="421">
        <v>0</v>
      </c>
      <c r="D52" s="421">
        <v>0</v>
      </c>
      <c r="E52" s="414">
        <f>((B52+C52+D52)/3)*(1+Parâmetros!E21)</f>
        <v>0</v>
      </c>
      <c r="F52" s="414">
        <f>((C52+D52+E52)/3)*(1+Parâmetros!F21)</f>
        <v>0</v>
      </c>
      <c r="G52" s="414">
        <f>((D52+E52+F52)/3)*(1+Parâmetros!G21)</f>
        <v>0</v>
      </c>
    </row>
    <row r="53" spans="1:7" ht="30.75" thickBot="1">
      <c r="A53" s="207" t="s">
        <v>474</v>
      </c>
      <c r="B53" s="421">
        <v>0</v>
      </c>
      <c r="C53" s="421">
        <v>0</v>
      </c>
      <c r="D53" s="421">
        <v>0</v>
      </c>
      <c r="E53" s="414">
        <f>((B53+C53+D53)/3)*(1+Parâmetros!E21)</f>
        <v>0</v>
      </c>
      <c r="F53" s="414">
        <f>((C53+D53+E53)/3)*(1+Parâmetros!F21)</f>
        <v>0</v>
      </c>
      <c r="G53" s="414">
        <f>((D53+E53+F53)/3)*(1+Parâmetros!G21)</f>
        <v>0</v>
      </c>
    </row>
    <row r="54" spans="1:7" ht="30.75" thickBot="1">
      <c r="A54" s="207" t="s">
        <v>475</v>
      </c>
      <c r="B54" s="421">
        <v>0</v>
      </c>
      <c r="C54" s="421">
        <v>0</v>
      </c>
      <c r="D54" s="421">
        <v>0</v>
      </c>
      <c r="E54" s="414">
        <f>((B54+C54+D54)/3)*(1+Parâmetros!E21)</f>
        <v>0</v>
      </c>
      <c r="F54" s="414">
        <f>((C54+D54+E54)/3)*(1+Parâmetros!F21)</f>
        <v>0</v>
      </c>
      <c r="G54" s="414">
        <f>((D54+E54+F54)/3)*(1+Parâmetros!G21)</f>
        <v>0</v>
      </c>
    </row>
    <row r="55" spans="1:7" ht="30.75" thickBot="1">
      <c r="A55" s="207" t="s">
        <v>476</v>
      </c>
      <c r="B55" s="421">
        <v>0</v>
      </c>
      <c r="C55" s="421">
        <v>0</v>
      </c>
      <c r="D55" s="421">
        <v>0</v>
      </c>
      <c r="E55" s="414">
        <f>((B55+C55+D55)/3)*(1+Parâmetros!E21)</f>
        <v>0</v>
      </c>
      <c r="F55" s="414">
        <f>((C55+D55+E55)/3)*(1+Parâmetros!F21)</f>
        <v>0</v>
      </c>
      <c r="G55" s="414">
        <f>((D55+E55+F55)/3)*(1+Parâmetros!G21)</f>
        <v>0</v>
      </c>
    </row>
    <row r="56" spans="1:7" ht="30.75" thickBot="1">
      <c r="A56" s="207" t="s">
        <v>477</v>
      </c>
      <c r="B56" s="421">
        <v>0</v>
      </c>
      <c r="C56" s="421">
        <v>0</v>
      </c>
      <c r="D56" s="421">
        <v>0</v>
      </c>
      <c r="E56" s="414">
        <f>((B56+C56+D56)/3)*(1+Parâmetros!E21)</f>
        <v>0</v>
      </c>
      <c r="F56" s="414">
        <f>((C56+D56+E56)/3)*(1+Parâmetros!F21)</f>
        <v>0</v>
      </c>
      <c r="G56" s="414">
        <f>((D56+E56+F56)/3)*(1+Parâmetros!G21)</f>
        <v>0</v>
      </c>
    </row>
    <row r="57" spans="1:7" ht="30">
      <c r="A57" s="208" t="s">
        <v>478</v>
      </c>
      <c r="B57" s="421">
        <v>0</v>
      </c>
      <c r="C57" s="421">
        <v>0</v>
      </c>
      <c r="D57" s="421">
        <v>0</v>
      </c>
      <c r="E57" s="414">
        <f>((B57+C57+D57)/3)*(1+Parâmetros!E21)</f>
        <v>0</v>
      </c>
      <c r="F57" s="414">
        <f>((C57+D57+E57)/3)*(1+Parâmetros!F21)</f>
        <v>0</v>
      </c>
      <c r="G57" s="414">
        <f>((D57+E57+F57)/3)*(1+Parâmetros!G21)</f>
        <v>0</v>
      </c>
    </row>
    <row r="58" spans="1:7" ht="15">
      <c r="A58" s="213" t="s">
        <v>604</v>
      </c>
      <c r="B58" s="422">
        <f aca="true" t="shared" si="6" ref="B58:G58">SUM(B41:B57)</f>
        <v>0</v>
      </c>
      <c r="C58" s="422">
        <f t="shared" si="6"/>
        <v>0</v>
      </c>
      <c r="D58" s="422">
        <f t="shared" si="6"/>
        <v>0</v>
      </c>
      <c r="E58" s="422">
        <f t="shared" si="6"/>
        <v>0</v>
      </c>
      <c r="F58" s="422">
        <f t="shared" si="6"/>
        <v>0</v>
      </c>
      <c r="G58" s="422">
        <f t="shared" si="6"/>
        <v>0</v>
      </c>
    </row>
    <row r="60" spans="1:7" ht="15">
      <c r="A60" s="694" t="s">
        <v>479</v>
      </c>
      <c r="B60" s="411">
        <f>B39</f>
        <v>2020</v>
      </c>
      <c r="C60" s="411">
        <f>B60+1</f>
        <v>2021</v>
      </c>
      <c r="D60" s="411">
        <f>C60+1</f>
        <v>2022</v>
      </c>
      <c r="E60" s="411">
        <f>D60+1</f>
        <v>2023</v>
      </c>
      <c r="F60" s="411">
        <f>E60+1</f>
        <v>2024</v>
      </c>
      <c r="G60" s="411">
        <f>F60+1</f>
        <v>2025</v>
      </c>
    </row>
    <row r="61" spans="1:7" ht="15.75" thickBot="1">
      <c r="A61" s="694"/>
      <c r="B61" s="411" t="s">
        <v>119</v>
      </c>
      <c r="C61" s="411" t="s">
        <v>119</v>
      </c>
      <c r="D61" s="412" t="s">
        <v>119</v>
      </c>
      <c r="E61" s="412" t="s">
        <v>424</v>
      </c>
      <c r="F61" s="412" t="s">
        <v>424</v>
      </c>
      <c r="G61" s="412" t="s">
        <v>424</v>
      </c>
    </row>
    <row r="62" spans="1:7" s="410" customFormat="1" ht="12" thickBot="1">
      <c r="A62" s="438" t="s">
        <v>480</v>
      </c>
      <c r="B62" s="421"/>
      <c r="C62" s="421"/>
      <c r="D62" s="421"/>
      <c r="E62" s="414">
        <f>((B62+C62+D62)/3)*(1+Parâmetros!E21)</f>
        <v>0</v>
      </c>
      <c r="F62" s="414">
        <f>((C62+D62+E62)/3)*(1+Parâmetros!F21)</f>
        <v>0</v>
      </c>
      <c r="G62" s="414">
        <f>((D62+E62+F62)/3)*(1+Parâmetros!G21)</f>
        <v>0</v>
      </c>
    </row>
    <row r="63" spans="1:7" s="410" customFormat="1" ht="12" thickBot="1">
      <c r="A63" s="439" t="s">
        <v>481</v>
      </c>
      <c r="B63" s="421">
        <v>0</v>
      </c>
      <c r="C63" s="421">
        <v>0</v>
      </c>
      <c r="D63" s="421">
        <v>0</v>
      </c>
      <c r="E63" s="414">
        <f>((B63+C63+D63)/3)*(1+Parâmetros!E21)</f>
        <v>0</v>
      </c>
      <c r="F63" s="414">
        <f>((C63+D63+E63)/3)*(1+Parâmetros!F21)</f>
        <v>0</v>
      </c>
      <c r="G63" s="414">
        <f>((D63+E63+F63)/3)*(1+Parâmetros!G21)</f>
        <v>0</v>
      </c>
    </row>
    <row r="64" spans="1:7" s="410" customFormat="1" ht="12" thickBot="1">
      <c r="A64" s="439" t="s">
        <v>482</v>
      </c>
      <c r="B64" s="421">
        <v>0</v>
      </c>
      <c r="C64" s="421">
        <v>0</v>
      </c>
      <c r="D64" s="421">
        <v>0</v>
      </c>
      <c r="E64" s="414">
        <f>((B64+C64+D64)/3)*(1+Parâmetros!E21)</f>
        <v>0</v>
      </c>
      <c r="F64" s="414">
        <f>((C64+D64+E64)/3)*(1+Parâmetros!F21)</f>
        <v>0</v>
      </c>
      <c r="G64" s="414">
        <f>((D64+E64+F64)/3)*(1+Parâmetros!G21)</f>
        <v>0</v>
      </c>
    </row>
    <row r="65" spans="1:7" s="410" customFormat="1" ht="12" thickBot="1">
      <c r="A65" s="439" t="s">
        <v>483</v>
      </c>
      <c r="B65" s="421">
        <v>0</v>
      </c>
      <c r="C65" s="421">
        <v>0</v>
      </c>
      <c r="D65" s="421">
        <v>0</v>
      </c>
      <c r="E65" s="414">
        <f>((B65+C65+D65)/3)*(1+Parâmetros!E21)</f>
        <v>0</v>
      </c>
      <c r="F65" s="414">
        <f>((C65+D65+E65)/3)*(1+Parâmetros!F21)</f>
        <v>0</v>
      </c>
      <c r="G65" s="414">
        <f>((D65+E65+F65)/3)*(1+Parâmetros!G21)</f>
        <v>0</v>
      </c>
    </row>
    <row r="66" spans="1:7" s="410" customFormat="1" ht="12" thickBot="1">
      <c r="A66" s="439" t="s">
        <v>484</v>
      </c>
      <c r="B66" s="421">
        <v>0</v>
      </c>
      <c r="C66" s="421">
        <v>0</v>
      </c>
      <c r="D66" s="421">
        <v>0</v>
      </c>
      <c r="E66" s="414">
        <f>((B66+C66+D66)/3)*(1+Parâmetros!E21)</f>
        <v>0</v>
      </c>
      <c r="F66" s="414">
        <f>((C66+D66+E66)/3)*(1+Parâmetros!F21)</f>
        <v>0</v>
      </c>
      <c r="G66" s="414">
        <f>((D66+E66+F66)/3)*(1+Parâmetros!G21)</f>
        <v>0</v>
      </c>
    </row>
    <row r="67" spans="1:7" s="410" customFormat="1" ht="12" thickBot="1">
      <c r="A67" s="439" t="s">
        <v>485</v>
      </c>
      <c r="B67" s="421">
        <v>0</v>
      </c>
      <c r="C67" s="421">
        <v>0</v>
      </c>
      <c r="D67" s="421">
        <v>0</v>
      </c>
      <c r="E67" s="414">
        <f>((B67+C67+D67)/3)*(1+Parâmetros!E21)</f>
        <v>0</v>
      </c>
      <c r="F67" s="414">
        <f>((C67+D67+E67)/3)*(1+Parâmetros!F21)</f>
        <v>0</v>
      </c>
      <c r="G67" s="414">
        <f>((D67+E67+F67)/3)*(1+Parâmetros!G21)</f>
        <v>0</v>
      </c>
    </row>
    <row r="68" spans="1:7" s="410" customFormat="1" ht="23.25" thickBot="1">
      <c r="A68" s="439" t="s">
        <v>486</v>
      </c>
      <c r="B68" s="421">
        <v>0</v>
      </c>
      <c r="C68" s="421">
        <v>0</v>
      </c>
      <c r="D68" s="421">
        <v>0</v>
      </c>
      <c r="E68" s="414">
        <f>((B68+C68+D68)/3)*(1+Parâmetros!E21)</f>
        <v>0</v>
      </c>
      <c r="F68" s="414">
        <f>((C68+D68+E68)/3)*(1+Parâmetros!F21)</f>
        <v>0</v>
      </c>
      <c r="G68" s="414">
        <f>((D68+E68+F68)/3)*(1+Parâmetros!G21)</f>
        <v>0</v>
      </c>
    </row>
    <row r="69" spans="1:7" s="410" customFormat="1" ht="23.25" thickBot="1">
      <c r="A69" s="439" t="s">
        <v>487</v>
      </c>
      <c r="B69" s="421">
        <v>0</v>
      </c>
      <c r="C69" s="421">
        <v>0</v>
      </c>
      <c r="D69" s="421">
        <v>0</v>
      </c>
      <c r="E69" s="414">
        <f>((B69+C69+D69)/3)*(1+Parâmetros!E21)</f>
        <v>0</v>
      </c>
      <c r="F69" s="414">
        <f>((C69+D69+E69)/3)*(1+Parâmetros!F21)</f>
        <v>0</v>
      </c>
      <c r="G69" s="414">
        <f>((D69+E69+F69)/3)*(1+Parâmetros!G21)</f>
        <v>0</v>
      </c>
    </row>
    <row r="70" spans="1:7" s="410" customFormat="1" ht="23.25" thickBot="1">
      <c r="A70" s="439" t="s">
        <v>488</v>
      </c>
      <c r="B70" s="421">
        <v>0</v>
      </c>
      <c r="C70" s="421">
        <v>0</v>
      </c>
      <c r="D70" s="421">
        <v>0</v>
      </c>
      <c r="E70" s="414">
        <f>((B70+C70+D70)/3)*(1+Parâmetros!E21)</f>
        <v>0</v>
      </c>
      <c r="F70" s="414">
        <f>((C70+D70+E70)/3)*(1+Parâmetros!F21)</f>
        <v>0</v>
      </c>
      <c r="G70" s="414">
        <f>((D70+E70+F70)/3)*(1+Parâmetros!G21)</f>
        <v>0</v>
      </c>
    </row>
    <row r="71" spans="1:7" s="410" customFormat="1" ht="23.25" thickBot="1">
      <c r="A71" s="439" t="s">
        <v>489</v>
      </c>
      <c r="B71" s="421">
        <v>0</v>
      </c>
      <c r="C71" s="421">
        <v>0</v>
      </c>
      <c r="D71" s="421">
        <v>0</v>
      </c>
      <c r="E71" s="414">
        <f>((B71+C71+D71)/3)*(1+Parâmetros!E21)</f>
        <v>0</v>
      </c>
      <c r="F71" s="414">
        <f>((C71+D71+E71)/3)*(1+Parâmetros!F21)</f>
        <v>0</v>
      </c>
      <c r="G71" s="414">
        <f>((D71+E71+F71)/3)*(1+Parâmetros!G21)</f>
        <v>0</v>
      </c>
    </row>
    <row r="72" spans="1:7" s="410" customFormat="1" ht="23.25" thickBot="1">
      <c r="A72" s="439" t="s">
        <v>490</v>
      </c>
      <c r="B72" s="421">
        <v>0</v>
      </c>
      <c r="C72" s="421">
        <v>0</v>
      </c>
      <c r="D72" s="421">
        <v>0</v>
      </c>
      <c r="E72" s="414">
        <f>((B72+C72+D72)/3)*(1+Parâmetros!E21)</f>
        <v>0</v>
      </c>
      <c r="F72" s="414">
        <f>((C72+D72+E72)/3)*(1+Parâmetros!F21)</f>
        <v>0</v>
      </c>
      <c r="G72" s="414">
        <f>((D72+E72+F72)/3)*(1+Parâmetros!G21)</f>
        <v>0</v>
      </c>
    </row>
    <row r="73" spans="1:7" s="410" customFormat="1" ht="23.25" thickBot="1">
      <c r="A73" s="439" t="s">
        <v>491</v>
      </c>
      <c r="B73" s="421">
        <v>0</v>
      </c>
      <c r="C73" s="421">
        <v>0</v>
      </c>
      <c r="D73" s="421">
        <v>0</v>
      </c>
      <c r="E73" s="414">
        <f>((B73+C73+D73)/3)*(1+Parâmetros!E21)</f>
        <v>0</v>
      </c>
      <c r="F73" s="414">
        <f>((C73+D73+E73)/3)*(1+Parâmetros!F21)</f>
        <v>0</v>
      </c>
      <c r="G73" s="414">
        <f>((D73+E73+F73)/3)*(1+Parâmetros!G21)</f>
        <v>0</v>
      </c>
    </row>
    <row r="74" spans="1:7" s="410" customFormat="1" ht="23.25" thickBot="1">
      <c r="A74" s="439" t="s">
        <v>492</v>
      </c>
      <c r="B74" s="421">
        <v>0</v>
      </c>
      <c r="C74" s="421">
        <v>0</v>
      </c>
      <c r="D74" s="421">
        <v>0</v>
      </c>
      <c r="E74" s="414">
        <f>((B74+C74+D74)/3)*(1+Parâmetros!E21)</f>
        <v>0</v>
      </c>
      <c r="F74" s="414">
        <f>((C74+D74+E74)/3)*(1+Parâmetros!F21)</f>
        <v>0</v>
      </c>
      <c r="G74" s="414">
        <f>((D74+E74+F74)/3)*(1+Parâmetros!G21)</f>
        <v>0</v>
      </c>
    </row>
    <row r="75" spans="1:7" s="410" customFormat="1" ht="39" customHeight="1" thickBot="1">
      <c r="A75" s="439" t="s">
        <v>493</v>
      </c>
      <c r="B75" s="421">
        <v>0</v>
      </c>
      <c r="C75" s="421">
        <v>0</v>
      </c>
      <c r="D75" s="421">
        <v>0</v>
      </c>
      <c r="E75" s="414">
        <f>((B75+C75+D75)/3)*(1+Parâmetros!E21)</f>
        <v>0</v>
      </c>
      <c r="F75" s="414">
        <f>((C75+D75+E75)/3)*(1+Parâmetros!F21)</f>
        <v>0</v>
      </c>
      <c r="G75" s="414">
        <f>((D75+E75+F75)/3)*(1+Parâmetros!G21)</f>
        <v>0</v>
      </c>
    </row>
    <row r="76" spans="1:7" s="410" customFormat="1" ht="39" customHeight="1" thickBot="1">
      <c r="A76" s="439" t="s">
        <v>494</v>
      </c>
      <c r="B76" s="421">
        <v>0</v>
      </c>
      <c r="C76" s="421">
        <v>0</v>
      </c>
      <c r="D76" s="421">
        <v>0</v>
      </c>
      <c r="E76" s="414">
        <f>((B76+C76+D76)/3)*(1+Parâmetros!E21)</f>
        <v>0</v>
      </c>
      <c r="F76" s="414">
        <f>((C76+D76+E76)/3)*(1+Parâmetros!F21)</f>
        <v>0</v>
      </c>
      <c r="G76" s="414">
        <f>((D76+E76+F76)/3)*(1+Parâmetros!G21)</f>
        <v>0</v>
      </c>
    </row>
    <row r="77" spans="1:7" s="410" customFormat="1" ht="36.75" customHeight="1" thickBot="1">
      <c r="A77" s="439" t="s">
        <v>495</v>
      </c>
      <c r="B77" s="421">
        <v>0</v>
      </c>
      <c r="C77" s="421">
        <v>0</v>
      </c>
      <c r="D77" s="421">
        <v>0</v>
      </c>
      <c r="E77" s="414">
        <f>((B77+C77+D77)/3)*(1+Parâmetros!E21)</f>
        <v>0</v>
      </c>
      <c r="F77" s="414">
        <f>((C77+D77+E77)/3)*(1+Parâmetros!F21)</f>
        <v>0</v>
      </c>
      <c r="G77" s="414">
        <f>((D77+E77+F77)/3)*(1+Parâmetros!G21)</f>
        <v>0</v>
      </c>
    </row>
    <row r="78" spans="1:7" s="410" customFormat="1" ht="36" customHeight="1" thickBot="1">
      <c r="A78" s="439" t="s">
        <v>496</v>
      </c>
      <c r="B78" s="421">
        <v>0</v>
      </c>
      <c r="C78" s="421">
        <v>0</v>
      </c>
      <c r="D78" s="421">
        <v>0</v>
      </c>
      <c r="E78" s="414">
        <f>((B78+C78+D78)/3)*(1+Parâmetros!E21)</f>
        <v>0</v>
      </c>
      <c r="F78" s="414">
        <f>((C78+D78+E78)/3)*(1+Parâmetros!F21)</f>
        <v>0</v>
      </c>
      <c r="G78" s="414">
        <f>((D78+E78+F78)/3)*(1+Parâmetros!G21)</f>
        <v>0</v>
      </c>
    </row>
    <row r="79" spans="1:7" ht="15">
      <c r="A79" s="213" t="s">
        <v>605</v>
      </c>
      <c r="B79" s="423">
        <f aca="true" t="shared" si="7" ref="B79:G79">SUM(B62:B78)</f>
        <v>0</v>
      </c>
      <c r="C79" s="423">
        <f t="shared" si="7"/>
        <v>0</v>
      </c>
      <c r="D79" s="423">
        <f t="shared" si="7"/>
        <v>0</v>
      </c>
      <c r="E79" s="423">
        <f t="shared" si="7"/>
        <v>0</v>
      </c>
      <c r="F79" s="423">
        <f t="shared" si="7"/>
        <v>0</v>
      </c>
      <c r="G79" s="423">
        <f t="shared" si="7"/>
        <v>0</v>
      </c>
    </row>
    <row r="81" spans="1:7" ht="15">
      <c r="A81" s="214" t="s">
        <v>606</v>
      </c>
      <c r="B81" s="420">
        <f aca="true" t="shared" si="8" ref="B81:G81">B37+B58-B79</f>
        <v>1487370.4580000043</v>
      </c>
      <c r="C81" s="420">
        <f t="shared" si="8"/>
        <v>10317871.84800002</v>
      </c>
      <c r="D81" s="420">
        <f t="shared" si="8"/>
        <v>7363536.540000021</v>
      </c>
      <c r="E81" s="420">
        <f t="shared" si="8"/>
        <v>-7528936.593811929</v>
      </c>
      <c r="F81" s="420">
        <f t="shared" si="8"/>
        <v>-6114842.319327235</v>
      </c>
      <c r="G81" s="420">
        <f t="shared" si="8"/>
        <v>-8524876.043060124</v>
      </c>
    </row>
    <row r="82" spans="2:3" s="410" customFormat="1" ht="11.25">
      <c r="B82" s="409"/>
      <c r="C82" s="417"/>
    </row>
    <row r="83" spans="2:3" s="410" customFormat="1" ht="11.25">
      <c r="B83" s="409"/>
      <c r="C83" s="417"/>
    </row>
    <row r="84" spans="2:3" s="410" customFormat="1" ht="11.25">
      <c r="B84" s="409"/>
      <c r="C84" s="417"/>
    </row>
    <row r="85" spans="2:3" s="410" customFormat="1" ht="11.25">
      <c r="B85" s="409"/>
      <c r="C85" s="417"/>
    </row>
    <row r="86" spans="2:3" s="410" customFormat="1" ht="11.25">
      <c r="B86" s="409"/>
      <c r="C86" s="417"/>
    </row>
    <row r="87" spans="2:6" s="410" customFormat="1" ht="11.25">
      <c r="B87" s="436"/>
      <c r="D87" s="436"/>
      <c r="E87" s="437"/>
      <c r="F87" s="436"/>
    </row>
    <row r="88" spans="2:6" s="410" customFormat="1" ht="11.25">
      <c r="B88" s="434" t="s">
        <v>656</v>
      </c>
      <c r="C88" s="435"/>
      <c r="D88" s="434" t="s">
        <v>653</v>
      </c>
      <c r="E88" s="75"/>
      <c r="F88" s="434" t="s">
        <v>654</v>
      </c>
    </row>
    <row r="89" spans="2:6" s="410" customFormat="1" ht="11.25">
      <c r="B89" s="434" t="s">
        <v>662</v>
      </c>
      <c r="C89" s="435"/>
      <c r="D89" s="434" t="s">
        <v>657</v>
      </c>
      <c r="E89" s="75"/>
      <c r="F89" s="434" t="s">
        <v>661</v>
      </c>
    </row>
    <row r="90" spans="2:6" s="410" customFormat="1" ht="11.25">
      <c r="B90" s="434" t="s">
        <v>658</v>
      </c>
      <c r="C90" s="435"/>
      <c r="D90" s="434" t="s">
        <v>659</v>
      </c>
      <c r="E90" s="75"/>
      <c r="F90" s="434" t="s">
        <v>660</v>
      </c>
    </row>
  </sheetData>
  <sheetProtection/>
  <mergeCells count="7">
    <mergeCell ref="A1:G1"/>
    <mergeCell ref="A60:A61"/>
    <mergeCell ref="A5:A6"/>
    <mergeCell ref="A21:A22"/>
    <mergeCell ref="A39:A40"/>
    <mergeCell ref="A3:G3"/>
    <mergeCell ref="A2:G2"/>
  </mergeCells>
  <printOptions/>
  <pageMargins left="0.511811024" right="0.511811024" top="0.787401575" bottom="0.787401575" header="0.31496062" footer="0.31496062"/>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M95"/>
  <sheetViews>
    <sheetView view="pageBreakPreview" zoomScale="60" zoomScalePageLayoutView="0" workbookViewId="0" topLeftCell="A1">
      <selection activeCell="S12" sqref="S12"/>
    </sheetView>
  </sheetViews>
  <sheetFormatPr defaultColWidth="9.140625" defaultRowHeight="12.75"/>
  <cols>
    <col min="1" max="1" width="48.140625" style="308" customWidth="1"/>
    <col min="2" max="2" width="10.00390625" style="308" customWidth="1"/>
    <col min="3" max="3" width="10.140625" style="308" customWidth="1"/>
    <col min="4" max="4" width="9.421875" style="308" customWidth="1"/>
    <col min="5" max="5" width="10.28125" style="308" customWidth="1"/>
    <col min="6" max="6" width="10.00390625" style="308" customWidth="1"/>
    <col min="7" max="7" width="11.140625" style="308" customWidth="1"/>
    <col min="8" max="9" width="10.7109375" style="308" customWidth="1"/>
    <col min="10" max="10" width="9.8515625" style="308" customWidth="1"/>
    <col min="11" max="11" width="10.421875" style="308" customWidth="1"/>
    <col min="12" max="12" width="10.57421875" style="308" customWidth="1"/>
    <col min="13" max="13" width="10.00390625" style="308" customWidth="1"/>
    <col min="14" max="16384" width="9.140625" style="308" customWidth="1"/>
  </cols>
  <sheetData>
    <row r="1" spans="1:13" ht="15">
      <c r="A1" s="704" t="str">
        <f>Parâmetros!$A$7</f>
        <v>Município de : Caçapava do Sul / RS.</v>
      </c>
      <c r="B1" s="705"/>
      <c r="C1" s="705"/>
      <c r="D1" s="705"/>
      <c r="E1" s="705"/>
      <c r="F1" s="705"/>
      <c r="G1" s="705"/>
      <c r="H1" s="705"/>
      <c r="I1" s="705"/>
      <c r="J1" s="705"/>
      <c r="K1" s="705"/>
      <c r="L1" s="706"/>
      <c r="M1" s="310"/>
    </row>
    <row r="2" spans="1:13" ht="15">
      <c r="A2" s="707" t="str">
        <f>Parâmetros!$A$8</f>
        <v>LEI DE DIRETRIZES ORÇAMENTÁRIAS  PARA 2023</v>
      </c>
      <c r="B2" s="705"/>
      <c r="C2" s="705"/>
      <c r="D2" s="705"/>
      <c r="E2" s="705"/>
      <c r="F2" s="705"/>
      <c r="G2" s="705"/>
      <c r="H2" s="705"/>
      <c r="I2" s="705"/>
      <c r="J2" s="705"/>
      <c r="K2" s="705"/>
      <c r="L2" s="706"/>
      <c r="M2" s="310"/>
    </row>
    <row r="3" spans="1:13" ht="15">
      <c r="A3" s="707" t="s">
        <v>144</v>
      </c>
      <c r="B3" s="705"/>
      <c r="C3" s="705"/>
      <c r="D3" s="705"/>
      <c r="E3" s="705"/>
      <c r="F3" s="705"/>
      <c r="G3" s="705"/>
      <c r="H3" s="705"/>
      <c r="I3" s="705"/>
      <c r="J3" s="705"/>
      <c r="K3" s="705"/>
      <c r="L3" s="706"/>
      <c r="M3" s="310"/>
    </row>
    <row r="4" spans="1:13" ht="15">
      <c r="A4" s="708" t="s">
        <v>607</v>
      </c>
      <c r="B4" s="709"/>
      <c r="C4" s="709"/>
      <c r="D4" s="709"/>
      <c r="E4" s="709"/>
      <c r="F4" s="709"/>
      <c r="G4" s="709"/>
      <c r="H4" s="709"/>
      <c r="I4" s="709"/>
      <c r="J4" s="709"/>
      <c r="K4" s="709"/>
      <c r="L4" s="710"/>
      <c r="M4" s="310"/>
    </row>
    <row r="5" spans="1:13" ht="15">
      <c r="A5" s="707" t="s">
        <v>617</v>
      </c>
      <c r="B5" s="705"/>
      <c r="C5" s="705"/>
      <c r="D5" s="705"/>
      <c r="E5" s="705"/>
      <c r="F5" s="705"/>
      <c r="G5" s="705"/>
      <c r="H5" s="705"/>
      <c r="I5" s="705"/>
      <c r="J5" s="705"/>
      <c r="K5" s="705"/>
      <c r="L5" s="706"/>
      <c r="M5" s="310"/>
    </row>
    <row r="6" spans="1:13" ht="15">
      <c r="A6" s="711" t="s">
        <v>417</v>
      </c>
      <c r="B6" s="712"/>
      <c r="C6" s="712"/>
      <c r="D6" s="712"/>
      <c r="E6" s="712"/>
      <c r="F6" s="712"/>
      <c r="G6" s="712"/>
      <c r="H6" s="713"/>
      <c r="I6" s="311"/>
      <c r="J6" s="714">
        <v>1</v>
      </c>
      <c r="K6" s="715"/>
      <c r="L6" s="715"/>
      <c r="M6" s="715"/>
    </row>
    <row r="7" spans="1:13" s="309" customFormat="1" ht="15.75" customHeight="1">
      <c r="A7" s="716" t="s">
        <v>56</v>
      </c>
      <c r="B7" s="697">
        <f>Parâmetros!$E$10</f>
        <v>2023</v>
      </c>
      <c r="C7" s="698"/>
      <c r="D7" s="698"/>
      <c r="E7" s="699"/>
      <c r="F7" s="697">
        <f>B7+1</f>
        <v>2024</v>
      </c>
      <c r="G7" s="698"/>
      <c r="H7" s="698"/>
      <c r="I7" s="699"/>
      <c r="J7" s="697">
        <f>F7+1</f>
        <v>2025</v>
      </c>
      <c r="K7" s="698"/>
      <c r="L7" s="698"/>
      <c r="M7" s="698"/>
    </row>
    <row r="8" spans="1:13" ht="15">
      <c r="A8" s="717"/>
      <c r="B8" s="312" t="s">
        <v>57</v>
      </c>
      <c r="C8" s="313" t="s">
        <v>57</v>
      </c>
      <c r="D8" s="313" t="s">
        <v>58</v>
      </c>
      <c r="E8" s="313" t="s">
        <v>360</v>
      </c>
      <c r="F8" s="313" t="s">
        <v>57</v>
      </c>
      <c r="G8" s="313" t="s">
        <v>57</v>
      </c>
      <c r="H8" s="313" t="s">
        <v>58</v>
      </c>
      <c r="I8" s="313" t="s">
        <v>360</v>
      </c>
      <c r="J8" s="313" t="s">
        <v>57</v>
      </c>
      <c r="K8" s="313" t="s">
        <v>57</v>
      </c>
      <c r="L8" s="314" t="s">
        <v>58</v>
      </c>
      <c r="M8" s="330" t="s">
        <v>360</v>
      </c>
    </row>
    <row r="9" spans="1:13" ht="18.75" customHeight="1">
      <c r="A9" s="717"/>
      <c r="B9" s="315" t="s">
        <v>59</v>
      </c>
      <c r="C9" s="316" t="s">
        <v>60</v>
      </c>
      <c r="D9" s="316" t="s">
        <v>61</v>
      </c>
      <c r="E9" s="316" t="s">
        <v>558</v>
      </c>
      <c r="F9" s="316" t="s">
        <v>59</v>
      </c>
      <c r="G9" s="316" t="s">
        <v>60</v>
      </c>
      <c r="H9" s="316" t="s">
        <v>62</v>
      </c>
      <c r="I9" s="316" t="s">
        <v>559</v>
      </c>
      <c r="J9" s="316" t="s">
        <v>59</v>
      </c>
      <c r="K9" s="316" t="s">
        <v>60</v>
      </c>
      <c r="L9" s="315" t="s">
        <v>63</v>
      </c>
      <c r="M9" s="331" t="s">
        <v>560</v>
      </c>
    </row>
    <row r="10" spans="1:13" ht="15">
      <c r="A10" s="718"/>
      <c r="B10" s="317" t="s">
        <v>64</v>
      </c>
      <c r="C10" s="318"/>
      <c r="D10" s="319" t="s">
        <v>65</v>
      </c>
      <c r="E10" s="319" t="s">
        <v>65</v>
      </c>
      <c r="F10" s="319" t="s">
        <v>66</v>
      </c>
      <c r="G10" s="318"/>
      <c r="H10" s="319" t="s">
        <v>65</v>
      </c>
      <c r="I10" s="319" t="s">
        <v>65</v>
      </c>
      <c r="J10" s="319" t="s">
        <v>67</v>
      </c>
      <c r="K10" s="318"/>
      <c r="L10" s="320" t="s">
        <v>65</v>
      </c>
      <c r="M10" s="330" t="s">
        <v>65</v>
      </c>
    </row>
    <row r="11" spans="1:13" ht="15" customHeight="1">
      <c r="A11" s="321" t="s">
        <v>561</v>
      </c>
      <c r="B11" s="381">
        <f>'RPrim-Nom'!E7+'RPrim-Nom'!E13</f>
        <v>156689526.2832365</v>
      </c>
      <c r="C11" s="381">
        <f>B11/(1+Parâmetros!E11)</f>
        <v>150518276.9291417</v>
      </c>
      <c r="D11" s="700" t="s">
        <v>618</v>
      </c>
      <c r="E11" s="329">
        <f>B11/RCL!B13</f>
        <v>1.0937323488862525</v>
      </c>
      <c r="F11" s="381">
        <f>'RPrim-Nom'!F7+'RPrim-Nom'!F13</f>
        <v>162402960.40053353</v>
      </c>
      <c r="G11" s="382">
        <f>F11/((1+Parâmetros!E11)*(1+Parâmetros!F11))</f>
        <v>151169269.63538855</v>
      </c>
      <c r="H11" s="700" t="s">
        <v>618</v>
      </c>
      <c r="I11" s="329">
        <f>F11/RCL!C13</f>
        <v>1.097728445237531</v>
      </c>
      <c r="J11" s="381">
        <f>'RPrim-Nom'!G7+'RPrim-Nom'!G13</f>
        <v>168756507.08381635</v>
      </c>
      <c r="K11" s="382">
        <f>J11/((1+Parâmetros!E11)*(1+Parâmetros!F11)*(1+Parâmetros!G11))</f>
        <v>152508087.97948262</v>
      </c>
      <c r="L11" s="700" t="s">
        <v>618</v>
      </c>
      <c r="M11" s="329">
        <f>J11/RCL!D13</f>
        <v>1.101078759417476</v>
      </c>
    </row>
    <row r="12" spans="1:13" ht="15">
      <c r="A12" s="321" t="s">
        <v>562</v>
      </c>
      <c r="B12" s="381">
        <f>B13+B18</f>
        <v>152651762.68508857</v>
      </c>
      <c r="C12" s="381">
        <f>B12/(1+Parâmetros!E11)</f>
        <v>146639541.48423496</v>
      </c>
      <c r="D12" s="701"/>
      <c r="E12" s="329">
        <f>B12/RCL!B13</f>
        <v>1.065547742236368</v>
      </c>
      <c r="F12" s="381">
        <f>F13+F18</f>
        <v>158154139.26202118</v>
      </c>
      <c r="G12" s="382">
        <f>F12/((1+Parâmetros!E11)*(1+Parâmetros!F11))</f>
        <v>147214346.72797212</v>
      </c>
      <c r="H12" s="701"/>
      <c r="I12" s="329">
        <f>F12/RCL!C13</f>
        <v>1.0690094378317019</v>
      </c>
      <c r="J12" s="381">
        <f>J13+J18</f>
        <v>164294965.0971151</v>
      </c>
      <c r="K12" s="382">
        <f>J12/((1+Parâmetros!E11)*(1+Parâmetros!F11)*(1+Parâmetros!G11))</f>
        <v>148476117.60044387</v>
      </c>
      <c r="L12" s="701"/>
      <c r="M12" s="329">
        <f>J12/RCL!D13</f>
        <v>1.0719687167844765</v>
      </c>
    </row>
    <row r="13" spans="1:13" ht="15">
      <c r="A13" s="322" t="s">
        <v>563</v>
      </c>
      <c r="B13" s="381">
        <f>'RPrim-Nom'!E11</f>
        <v>150760037.1722734</v>
      </c>
      <c r="C13" s="381">
        <f>B13/(1+Parâmetros!E11)</f>
        <v>144822321.9714442</v>
      </c>
      <c r="D13" s="701"/>
      <c r="E13" s="329">
        <f>B13/RCL!B13</f>
        <v>1.0523430218082819</v>
      </c>
      <c r="F13" s="381">
        <f>'RPrim-Nom'!F11</f>
        <v>156162833.3182114</v>
      </c>
      <c r="G13" s="382">
        <f>F13/((1+Parâmetros!E11)*(1+Parâmetros!F11))</f>
        <v>145360782.82492554</v>
      </c>
      <c r="H13" s="701"/>
      <c r="I13" s="329">
        <f>F13/RCL!C13</f>
        <v>1.0555496266786326</v>
      </c>
      <c r="J13" s="381">
        <f>'RPrim-Nom'!G11</f>
        <v>162202899.07254854</v>
      </c>
      <c r="K13" s="382">
        <f>J13/((1+Parâmetros!E11)*(1+Parâmetros!F11)*(1+Parâmetros!G11))</f>
        <v>146585482.41933635</v>
      </c>
      <c r="L13" s="701"/>
      <c r="M13" s="329">
        <f>J13/RCL!D13</f>
        <v>1.0583186981703492</v>
      </c>
    </row>
    <row r="14" spans="1:13" ht="15">
      <c r="A14" s="323" t="s">
        <v>564</v>
      </c>
      <c r="B14" s="381">
        <f>Projeções!H9+Projeções!H105</f>
        <v>16231466.26824196</v>
      </c>
      <c r="C14" s="381">
        <f>B14/(1+Parâmetros!E11)</f>
        <v>15592186.61694713</v>
      </c>
      <c r="D14" s="701"/>
      <c r="E14" s="329">
        <f>B14/RCL!B13</f>
        <v>0.11329972173980306</v>
      </c>
      <c r="F14" s="381">
        <f>Projeções!I9+Projeções!I105</f>
        <v>17243322.278577007</v>
      </c>
      <c r="G14" s="382">
        <f>F14/((1+Parâmetros!E11)*(1+Parâmetros!F11))</f>
        <v>16050572.160207657</v>
      </c>
      <c r="H14" s="701"/>
      <c r="I14" s="329">
        <f>F14/RCL!C13</f>
        <v>0.11655258813576304</v>
      </c>
      <c r="J14" s="381">
        <f>Projeções!J9+Projeções!J105</f>
        <v>16908048.255558062</v>
      </c>
      <c r="K14" s="382">
        <f>J14/((1+Parâmetros!E11)*(1+Parâmetros!F11)*(1+Parâmetros!G11))</f>
        <v>15280087.005114803</v>
      </c>
      <c r="L14" s="701"/>
      <c r="M14" s="329">
        <f>J14/RCL!D13</f>
        <v>0.11031925890806767</v>
      </c>
    </row>
    <row r="15" spans="1:13" ht="15">
      <c r="A15" s="324" t="s">
        <v>565</v>
      </c>
      <c r="B15" s="381">
        <f>Projeções!H15</f>
        <v>9858019.999876952</v>
      </c>
      <c r="C15" s="381">
        <f>B15/(1+Parâmetros!E11)</f>
        <v>9469759.846183432</v>
      </c>
      <c r="D15" s="701"/>
      <c r="E15" s="329">
        <f>B15/RCL!B13</f>
        <v>0.06881146191190313</v>
      </c>
      <c r="F15" s="381">
        <f>Projeções!I15</f>
        <v>10700449.93493267</v>
      </c>
      <c r="G15" s="382">
        <f>F15/((1+Parâmetros!E11)*(1+Parâmetros!F11))</f>
        <v>9960281.496374117</v>
      </c>
      <c r="H15" s="701"/>
      <c r="I15" s="329">
        <f>F15/RCL!C13</f>
        <v>0.07232742704594868</v>
      </c>
      <c r="J15" s="381">
        <f>Projeções!J15</f>
        <v>11544642.964563977</v>
      </c>
      <c r="K15" s="382">
        <f>J15/((1+Parâmetros!E11)*(1+Parâmetros!F11)*(1+Parâmetros!G11))</f>
        <v>10433087.620478982</v>
      </c>
      <c r="L15" s="701"/>
      <c r="M15" s="329">
        <f>J15/RCL!D13</f>
        <v>0.0753248652333527</v>
      </c>
    </row>
    <row r="16" spans="1:13" ht="15">
      <c r="A16" s="323" t="s">
        <v>566</v>
      </c>
      <c r="B16" s="381">
        <f>Projeções!H39+Projeções!H106</f>
        <v>120344220.12387045</v>
      </c>
      <c r="C16" s="381">
        <f>B16/(1+Parâmetros!E11)</f>
        <v>115604438.15933761</v>
      </c>
      <c r="D16" s="701"/>
      <c r="E16" s="329">
        <f>B16/RCL!B13</f>
        <v>0.8400329599123112</v>
      </c>
      <c r="F16" s="381">
        <f>Projeções!I39+Projeções!I106</f>
        <v>123737283.32398714</v>
      </c>
      <c r="G16" s="382">
        <f>F16/((1+Parâmetros!E11)*(1+Parâmetros!F11))</f>
        <v>115178163.62843117</v>
      </c>
      <c r="H16" s="701"/>
      <c r="I16" s="329">
        <f>F16/RCL!C13</f>
        <v>0.8363759829633626</v>
      </c>
      <c r="J16" s="381">
        <f>Projeções!J39+Projeções!J106</f>
        <v>129116111.89940673</v>
      </c>
      <c r="K16" s="382">
        <f>J16/((1+Parâmetros!E11)*(1+Parâmetros!F11)*(1+Parâmetros!G11))</f>
        <v>116684397.49907471</v>
      </c>
      <c r="L16" s="701"/>
      <c r="M16" s="329">
        <f>J16/RCL!D13</f>
        <v>0.8424386755077636</v>
      </c>
    </row>
    <row r="17" spans="1:13" ht="15">
      <c r="A17" s="323" t="s">
        <v>567</v>
      </c>
      <c r="B17" s="381">
        <f>B13-B14-B15-B16</f>
        <v>4326330.780284032</v>
      </c>
      <c r="C17" s="381">
        <f>B17/(1+Parâmetros!E11)</f>
        <v>4155937.348976016</v>
      </c>
      <c r="D17" s="701"/>
      <c r="E17" s="329">
        <f>B17/RCL!B13</f>
        <v>0.03019887824426454</v>
      </c>
      <c r="F17" s="381">
        <f>F13-F14-F15-F16</f>
        <v>4481777.780714601</v>
      </c>
      <c r="G17" s="382">
        <f>F17/((1+Parâmetros!E11)*(1+Parâmetros!F11))</f>
        <v>4171765.5399126154</v>
      </c>
      <c r="H17" s="701"/>
      <c r="I17" s="329">
        <f>F17/RCL!C13</f>
        <v>0.030293628533558364</v>
      </c>
      <c r="J17" s="381">
        <f>J13-J14-J15-J16</f>
        <v>4634095.953019753</v>
      </c>
      <c r="K17" s="382">
        <f>J17/((1+Parâmetros!E11)*(1+Parâmetros!F11)*(1+Parâmetros!G11))</f>
        <v>4187910.2946678405</v>
      </c>
      <c r="L17" s="701"/>
      <c r="M17" s="329">
        <f>J17/RCL!D13</f>
        <v>0.030235898521165015</v>
      </c>
    </row>
    <row r="18" spans="1:13" ht="15">
      <c r="A18" s="322" t="s">
        <v>568</v>
      </c>
      <c r="B18" s="381">
        <f>'RPrim-Nom'!E18</f>
        <v>1891725.5128151914</v>
      </c>
      <c r="C18" s="381">
        <f>B18/(1+Parâmetros!E11)</f>
        <v>1817219.51279077</v>
      </c>
      <c r="D18" s="701"/>
      <c r="E18" s="329">
        <f>B18/RCL!B13</f>
        <v>0.013204720428086245</v>
      </c>
      <c r="F18" s="381">
        <f>'RPrim-Nom'!F18</f>
        <v>1991305.9438097829</v>
      </c>
      <c r="G18" s="382">
        <f>F18/((1+Parâmetros!E11)*(1+Parâmetros!F11))</f>
        <v>1853563.9030465852</v>
      </c>
      <c r="H18" s="701"/>
      <c r="I18" s="329">
        <f>F18/RCL!C13</f>
        <v>0.013459811153069264</v>
      </c>
      <c r="J18" s="381">
        <f>'RPrim-Nom'!G18</f>
        <v>2092066.0245665582</v>
      </c>
      <c r="K18" s="382">
        <f>J18/((1+Parâmetros!E11)*(1+Parâmetros!F11)*(1+Parâmetros!G11))</f>
        <v>1890635.1811075169</v>
      </c>
      <c r="L18" s="701"/>
      <c r="M18" s="329">
        <f>J18/RCL!D13</f>
        <v>0.013650018614127289</v>
      </c>
    </row>
    <row r="19" spans="1:13" ht="15">
      <c r="A19" s="321" t="s">
        <v>68</v>
      </c>
      <c r="B19" s="381">
        <f>'RPrim-Nom'!E23+'RPrim-Nom'!E27+'RPrim-Nom'!E34</f>
        <v>160652373.66974634</v>
      </c>
      <c r="C19" s="381">
        <f>B19/(1+Parâmetros!E11)</f>
        <v>154325046.75287834</v>
      </c>
      <c r="D19" s="701"/>
      <c r="E19" s="329">
        <f>B19/RCL!B13</f>
        <v>1.1213940215145195</v>
      </c>
      <c r="F19" s="381">
        <f>'RPrim-Nom'!F23+'RPrim-Nom'!F27+'RPrim-Nom'!F34</f>
        <v>164782731.04336852</v>
      </c>
      <c r="G19" s="382">
        <f>F19/((1+Parâmetros!E11)*(1+Parâmetros!F11))</f>
        <v>153384427.469272</v>
      </c>
      <c r="H19" s="701"/>
      <c r="I19" s="329">
        <f>F19/RCL!C13</f>
        <v>1.1138140013218436</v>
      </c>
      <c r="J19" s="381">
        <f>'RPrim-Nom'!G23+'RPrim-Nom'!G27+'RPrim-Nom'!G34</f>
        <v>173293944.02389228</v>
      </c>
      <c r="K19" s="382">
        <f>J19/((1+Parâmetros!E11)*(1+Parâmetros!F11)*(1+Parâmetros!G11))</f>
        <v>156608645.9017603</v>
      </c>
      <c r="L19" s="701"/>
      <c r="M19" s="329">
        <f>J19/RCL!D13</f>
        <v>1.1306839907845394</v>
      </c>
    </row>
    <row r="20" spans="1:13" ht="15">
      <c r="A20" s="321" t="s">
        <v>598</v>
      </c>
      <c r="B20" s="381">
        <f>B21+B24+B25+B26</f>
        <v>160180699.27890044</v>
      </c>
      <c r="C20" s="381">
        <f>B20/(1+Parâmetros!E11)</f>
        <v>153871949.35533184</v>
      </c>
      <c r="D20" s="701"/>
      <c r="E20" s="329">
        <f>B20/RCL!B13</f>
        <v>1.1181016154957737</v>
      </c>
      <c r="F20" s="381">
        <f>F21+F24+F25+F26</f>
        <v>164268981.58134845</v>
      </c>
      <c r="G20" s="382">
        <f>F20/((1+Parâmetros!E11)*(1+Parâmetros!F11))</f>
        <v>152906214.93695357</v>
      </c>
      <c r="H20" s="701"/>
      <c r="I20" s="329">
        <f>F20/RCL!C13</f>
        <v>1.1103414205462592</v>
      </c>
      <c r="J20" s="381">
        <f>J21+J24+J25+J26</f>
        <v>172819841.14017525</v>
      </c>
      <c r="K20" s="382">
        <f>J20/((1+Parâmetros!E11)*(1+Parâmetros!F11)*(1+Parâmetros!G11))</f>
        <v>156180191.16806918</v>
      </c>
      <c r="L20" s="701"/>
      <c r="M20" s="329">
        <f>J20/RCL!D13</f>
        <v>1.1275906308658008</v>
      </c>
    </row>
    <row r="21" spans="1:13" ht="15">
      <c r="A21" s="322" t="s">
        <v>597</v>
      </c>
      <c r="B21" s="381">
        <f>B22+B23</f>
        <v>139999184.66581964</v>
      </c>
      <c r="C21" s="381">
        <f>B21/(1+Parâmetros!E11)</f>
        <v>134485287.86341944</v>
      </c>
      <c r="D21" s="701"/>
      <c r="E21" s="329">
        <f>B21/RCL!B13</f>
        <v>0.9772295616614479</v>
      </c>
      <c r="F21" s="381">
        <f>F22+F23</f>
        <v>151564767.24095052</v>
      </c>
      <c r="G21" s="382">
        <f>F21/((1+Parâmetros!E11)*(1+Parâmetros!F11))</f>
        <v>141080772.84899595</v>
      </c>
      <c r="H21" s="701"/>
      <c r="I21" s="329">
        <f>F21/RCL!C13</f>
        <v>1.0244699720119776</v>
      </c>
      <c r="J21" s="381">
        <f>J22+J23</f>
        <v>161197440.82493335</v>
      </c>
      <c r="K21" s="382">
        <f>J21/((1+Parâmetros!E11)*(1+Parâmetros!F11)*(1+Parâmetros!G11))</f>
        <v>145676832.92464852</v>
      </c>
      <c r="L21" s="701"/>
      <c r="M21" s="329">
        <f>J21/RCL!D13</f>
        <v>1.0517584253899914</v>
      </c>
    </row>
    <row r="22" spans="1:13" ht="15" customHeight="1">
      <c r="A22" s="324" t="s">
        <v>569</v>
      </c>
      <c r="B22" s="381">
        <f>Projeções!H119-Projeções!H123-Projeções!H124</f>
        <v>103917320.2334194</v>
      </c>
      <c r="C22" s="381">
        <f>B22/(1+Parâmetros!E11)</f>
        <v>99824515.11375543</v>
      </c>
      <c r="D22" s="702"/>
      <c r="E22" s="329">
        <f>B22/RCL!B13</f>
        <v>0.7253690622780472</v>
      </c>
      <c r="F22" s="381">
        <f>Projeções!I119-Projeções!I123-Projeções!I124</f>
        <v>115219562.50920367</v>
      </c>
      <c r="G22" s="382">
        <f>F22/((1+Parâmetros!E11)*(1+Parâmetros!F11))</f>
        <v>107249628.1426659</v>
      </c>
      <c r="H22" s="702"/>
      <c r="I22" s="329">
        <f>F22/RCL!C13</f>
        <v>0.7788022515244811</v>
      </c>
      <c r="J22" s="381">
        <f>Projeções!J119-Projeções!J123-Projeções!J124</f>
        <v>126569701.69750348</v>
      </c>
      <c r="K22" s="382">
        <f>J22/((1+Parâmetros!E11)*(1+Parâmetros!F11)*(1+Parâmetros!G11))</f>
        <v>114383163.85887598</v>
      </c>
      <c r="L22" s="702"/>
      <c r="M22" s="329">
        <f>J22/RCL!D13</f>
        <v>0.8258242158076285</v>
      </c>
    </row>
    <row r="23" spans="1:13" ht="15">
      <c r="A23" s="324" t="s">
        <v>580</v>
      </c>
      <c r="B23" s="381">
        <f>Projeções!H131-Projeções!H135-Projeções!H136</f>
        <v>36081864.43240025</v>
      </c>
      <c r="C23" s="381">
        <f>B23/(1+Parâmetros!E11)</f>
        <v>34660772.74966402</v>
      </c>
      <c r="D23" s="702"/>
      <c r="E23" s="329">
        <f>B23/RCL!B13</f>
        <v>0.2518604993834008</v>
      </c>
      <c r="F23" s="381">
        <f>Projeções!I131-Projeções!I135-Projeções!I136</f>
        <v>36345204.73174685</v>
      </c>
      <c r="G23" s="382">
        <f>F23/((1+Parâmetros!E11)*(1+Parâmetros!F11))</f>
        <v>33831144.70633005</v>
      </c>
      <c r="H23" s="702"/>
      <c r="I23" s="329">
        <f>F23/RCL!C13</f>
        <v>0.24566772048749647</v>
      </c>
      <c r="J23" s="381">
        <f>Projeções!J131-Projeções!J135-Projeções!J136</f>
        <v>34627739.127429865</v>
      </c>
      <c r="K23" s="382">
        <f>J23/((1+Parâmetros!E11)*(1+Parâmetros!F11)*(1+Parâmetros!G11))</f>
        <v>31293669.06577253</v>
      </c>
      <c r="L23" s="702"/>
      <c r="M23" s="329">
        <f>J23/RCL!D13</f>
        <v>0.2259342095823629</v>
      </c>
    </row>
    <row r="24" spans="1:13" ht="15">
      <c r="A24" s="325" t="s">
        <v>570</v>
      </c>
      <c r="B24" s="381">
        <f>Projeções!H138-Projeções!H142-Projeções!H143+Projeções!H146+Projeções!H147</f>
        <v>3897377.9746639873</v>
      </c>
      <c r="C24" s="381">
        <f>B24/(1+Parâmetros!E11)</f>
        <v>3743878.938197875</v>
      </c>
      <c r="D24" s="702"/>
      <c r="E24" s="329">
        <f>B24/RCL!B13</f>
        <v>0.02720467964796466</v>
      </c>
      <c r="F24" s="381">
        <f>Projeções!I138-Projeções!I142-Projeções!I143+Projeções!I146+Projeções!I147</f>
        <v>3268840.6539792297</v>
      </c>
      <c r="G24" s="382">
        <f>F24/((1+Parâmetros!E11)*(1+Parâmetros!F11))</f>
        <v>3042729.3504859204</v>
      </c>
      <c r="H24" s="702"/>
      <c r="I24" s="329">
        <f>F24/RCL!C13</f>
        <v>0.02209503669127737</v>
      </c>
      <c r="J24" s="381">
        <f>Projeções!J138-Projeções!J142-Projeções!J143+Projeções!J146+Projeções!J147</f>
        <v>3248679.109681325</v>
      </c>
      <c r="K24" s="382">
        <f>J24/((1+Parâmetros!E11)*(1+Parâmetros!F11)*(1+Parâmetros!G11))</f>
        <v>2935885.8395327628</v>
      </c>
      <c r="L24" s="702"/>
      <c r="M24" s="329">
        <f>J24/RCL!D13</f>
        <v>0.02119652525195232</v>
      </c>
    </row>
    <row r="25" spans="1:13" ht="15">
      <c r="A25" s="325" t="s">
        <v>571</v>
      </c>
      <c r="B25" s="381">
        <f>Projeções!H123+Projeções!H135+Projeções!H142+Projeções!H148</f>
        <v>4341107.713889999</v>
      </c>
      <c r="C25" s="381">
        <f>B25/(1+Parâmetros!E11)</f>
        <v>4170132.2899999996</v>
      </c>
      <c r="D25" s="702"/>
      <c r="E25" s="329">
        <f>B25/RCL!B13</f>
        <v>0.030302024961760998</v>
      </c>
      <c r="F25" s="381">
        <f>Projeções!I123+Projeções!I135+Projeções!I142+Projeções!I148</f>
        <v>4235121.80429816</v>
      </c>
      <c r="G25" s="382">
        <f>F25/((1+Parâmetros!E11)*(1+Parâmetros!F11))</f>
        <v>3942171.179599744</v>
      </c>
      <c r="H25" s="702"/>
      <c r="I25" s="329">
        <f>F25/RCL!C13</f>
        <v>0.028626409655082327</v>
      </c>
      <c r="J25" s="381">
        <f>Projeções!J123+Projeções!J135+Projeções!J142+Projeções!J148</f>
        <v>4541277.381044601</v>
      </c>
      <c r="K25" s="382">
        <f>J25/((1+Parâmetros!E11)*(1+Parâmetros!F11)*(1+Parâmetros!G11))</f>
        <v>4104028.593241739</v>
      </c>
      <c r="L25" s="702"/>
      <c r="M25" s="329">
        <f>J25/RCL!D13</f>
        <v>0.029630288936993293</v>
      </c>
    </row>
    <row r="26" spans="1:13" ht="15">
      <c r="A26" s="325" t="s">
        <v>596</v>
      </c>
      <c r="B26" s="381">
        <f>Projeções!H156+Projeções!H157</f>
        <v>11943028.924526844</v>
      </c>
      <c r="C26" s="381">
        <f>B26/(1+Parâmetros!E11)</f>
        <v>11472650.263714548</v>
      </c>
      <c r="D26" s="702"/>
      <c r="E26" s="329">
        <f>B26/RCL!B13</f>
        <v>0.0833653492246003</v>
      </c>
      <c r="F26" s="381">
        <f>Projeções!I156+Projeções!I157</f>
        <v>5200251.882120507</v>
      </c>
      <c r="G26" s="382">
        <f>F26/((1+Parâmetros!E11)*(1+Parâmetros!F11))</f>
        <v>4840541.557871928</v>
      </c>
      <c r="H26" s="702"/>
      <c r="I26" s="329">
        <f>F26/RCL!C13</f>
        <v>0.03515000218792154</v>
      </c>
      <c r="J26" s="381">
        <f>Projeções!J156+Projeções!J157</f>
        <v>3832443.8245159667</v>
      </c>
      <c r="K26" s="382">
        <f>J26/((1+Parâmetros!E11)*(1+Parâmetros!F11)*(1+Parâmetros!G11))</f>
        <v>3463443.8106461437</v>
      </c>
      <c r="L26" s="702"/>
      <c r="M26" s="329">
        <f>J26/RCL!D13</f>
        <v>0.025005391286863667</v>
      </c>
    </row>
    <row r="27" spans="1:13" ht="15">
      <c r="A27" s="321" t="s">
        <v>572</v>
      </c>
      <c r="B27" s="381">
        <f>B12-B20</f>
        <v>-7528936.59381187</v>
      </c>
      <c r="C27" s="381">
        <f>B27/(1+Parâmetros!E11)</f>
        <v>-7232407.871096897</v>
      </c>
      <c r="D27" s="702"/>
      <c r="E27" s="329">
        <f>B27/RCL!B13</f>
        <v>-0.052553873259405616</v>
      </c>
      <c r="F27" s="381">
        <f>F12-F20</f>
        <v>-6114842.319327265</v>
      </c>
      <c r="G27" s="382">
        <f>F27/((1+Parâmetros!E11)*(1+Parâmetros!F11))</f>
        <v>-5691868.208981437</v>
      </c>
      <c r="H27" s="702"/>
      <c r="I27" s="329">
        <f>F27/RCL!C13</f>
        <v>-0.04133198271455725</v>
      </c>
      <c r="J27" s="381">
        <f>J12-J20</f>
        <v>-8524876.043060154</v>
      </c>
      <c r="K27" s="382">
        <f>J27/((1+Parâmetros!E11)*(1+Parâmetros!F11)*(1+Parâmetros!G11))</f>
        <v>-7704073.567625302</v>
      </c>
      <c r="L27" s="702"/>
      <c r="M27" s="329">
        <f>J27/RCL!D13</f>
        <v>-0.055621914081324345</v>
      </c>
    </row>
    <row r="28" spans="1:13" ht="15">
      <c r="A28" s="322" t="s">
        <v>573</v>
      </c>
      <c r="B28" s="381">
        <f>'RPrim-Nom'!E58</f>
        <v>0</v>
      </c>
      <c r="C28" s="381">
        <f>B28/(1+Parâmetros!E11)</f>
        <v>0</v>
      </c>
      <c r="D28" s="702"/>
      <c r="E28" s="329">
        <f>B28/RCL!B13</f>
        <v>0</v>
      </c>
      <c r="F28" s="381">
        <f>'RPrim-Nom'!F58</f>
        <v>0</v>
      </c>
      <c r="G28" s="382">
        <f>F28/((1+Parâmetros!E11)*(1+Parâmetros!F11))</f>
        <v>0</v>
      </c>
      <c r="H28" s="702"/>
      <c r="I28" s="329">
        <f>F28/RCL!C13</f>
        <v>0</v>
      </c>
      <c r="J28" s="381">
        <f>'RPrim-Nom'!G58</f>
        <v>0</v>
      </c>
      <c r="K28" s="382">
        <f>J28/((1+Parâmetros!E11)*(1+Parâmetros!F11)*(1+Parâmetros!G11))</f>
        <v>0</v>
      </c>
      <c r="L28" s="702"/>
      <c r="M28" s="329">
        <f>J28/RCL!D13</f>
        <v>0</v>
      </c>
    </row>
    <row r="29" spans="1:13" ht="18" customHeight="1">
      <c r="A29" s="322" t="s">
        <v>574</v>
      </c>
      <c r="B29" s="381">
        <f>'RPrim-Nom'!E79</f>
        <v>0</v>
      </c>
      <c r="C29" s="381">
        <f>B29/(1+Parâmetros!E11)</f>
        <v>0</v>
      </c>
      <c r="D29" s="702"/>
      <c r="E29" s="329">
        <f>B29/RCL!B13</f>
        <v>0</v>
      </c>
      <c r="F29" s="381">
        <f>'RPrim-Nom'!F79</f>
        <v>0</v>
      </c>
      <c r="G29" s="382">
        <f>F29/((1+Parâmetros!E11)*(1+Parâmetros!F11))</f>
        <v>0</v>
      </c>
      <c r="H29" s="702"/>
      <c r="I29" s="329">
        <f>F29/RCL!C13</f>
        <v>0</v>
      </c>
      <c r="J29" s="381">
        <f>'RPrim-Nom'!G79</f>
        <v>0</v>
      </c>
      <c r="K29" s="382">
        <f>J29/((1+Parâmetros!E11)*(1+Parâmetros!F11)*(1+Parâmetros!G11))</f>
        <v>0</v>
      </c>
      <c r="L29" s="702"/>
      <c r="M29" s="329">
        <f>J29/RCL!D13</f>
        <v>0</v>
      </c>
    </row>
    <row r="30" spans="1:13" ht="15">
      <c r="A30" s="321" t="s">
        <v>575</v>
      </c>
      <c r="B30" s="381">
        <f>B27+B28-B29</f>
        <v>-7528936.59381187</v>
      </c>
      <c r="C30" s="381">
        <f>B30/(1+Parâmetros!E11)</f>
        <v>-7232407.871096897</v>
      </c>
      <c r="D30" s="702"/>
      <c r="E30" s="329">
        <f>B30/RCL!B13</f>
        <v>-0.052553873259405616</v>
      </c>
      <c r="F30" s="381">
        <f>F27+F28-F29</f>
        <v>-6114842.319327265</v>
      </c>
      <c r="G30" s="382">
        <f>F30/((1+Parâmetros!E11)*(1+Parâmetros!F11))</f>
        <v>-5691868.208981437</v>
      </c>
      <c r="H30" s="702"/>
      <c r="I30" s="329">
        <f>F30/RCL!C13</f>
        <v>-0.04133198271455725</v>
      </c>
      <c r="J30" s="381">
        <f>J27+J28-J29</f>
        <v>-8524876.043060154</v>
      </c>
      <c r="K30" s="382">
        <f>J30/((1+Parâmetros!E11)*(1+Parâmetros!F11)*(1+Parâmetros!G11))</f>
        <v>-7704073.567625302</v>
      </c>
      <c r="L30" s="702"/>
      <c r="M30" s="329">
        <f>J30/RCL!D13</f>
        <v>-0.055621914081324345</v>
      </c>
    </row>
    <row r="31" spans="1:13" ht="15">
      <c r="A31" s="321" t="s">
        <v>69</v>
      </c>
      <c r="B31" s="381">
        <f>Dívida!E7</f>
        <v>1248578.5966666664</v>
      </c>
      <c r="C31" s="381">
        <f>B31/(1+Parâmetros!E11)</f>
        <v>1199403.0707652897</v>
      </c>
      <c r="D31" s="702"/>
      <c r="E31" s="329">
        <f>B31/RCL!B13</f>
        <v>0.008715393004844602</v>
      </c>
      <c r="F31" s="381">
        <f>Dívida!F7</f>
        <v>1106663.3955555556</v>
      </c>
      <c r="G31" s="382">
        <f>F31/((1+Parâmetros!E11)*(1+Parâmetros!F11))</f>
        <v>1030113.5941472828</v>
      </c>
      <c r="H31" s="702"/>
      <c r="I31" s="329">
        <f>F31/RCL!C13</f>
        <v>0.007480257044627715</v>
      </c>
      <c r="J31" s="381">
        <f>Dívida!G7</f>
        <v>1162829.970740741</v>
      </c>
      <c r="K31" s="382">
        <f>J31/((1+Parâmetros!E11)*(1+Parâmetros!F11)*(1+Parâmetros!G11))</f>
        <v>1050868.9623140167</v>
      </c>
      <c r="L31" s="702"/>
      <c r="M31" s="329">
        <f>J31/RCL!D13</f>
        <v>0.007587069700137575</v>
      </c>
    </row>
    <row r="32" spans="1:13" ht="15">
      <c r="A32" s="326" t="s">
        <v>576</v>
      </c>
      <c r="B32" s="381">
        <f>Dívida!E15</f>
        <v>-1630191.0633333349</v>
      </c>
      <c r="C32" s="381">
        <f>B32/(1+Parâmetros!E11)</f>
        <v>-1565985.6516170364</v>
      </c>
      <c r="D32" s="702"/>
      <c r="E32" s="329">
        <f>B32/RCL!B13</f>
        <v>-0.01137914411464846</v>
      </c>
      <c r="F32" s="381">
        <f>Dívida!F15</f>
        <v>-5554076.141111112</v>
      </c>
      <c r="G32" s="382">
        <f>F32/((1+Parâmetros!E11)*(1+Parâmetros!F11))</f>
        <v>-5169891.187207359</v>
      </c>
      <c r="H32" s="702"/>
      <c r="I32" s="329">
        <f>F32/RCL!C13</f>
        <v>-0.03754160239490768</v>
      </c>
      <c r="J32" s="381">
        <f>Dívida!G15</f>
        <v>-9056545.974814814</v>
      </c>
      <c r="K32" s="382">
        <f>J32/((1+Parâmetros!E11)*(1+Parâmetros!F11)*(1+Parâmetros!G11))</f>
        <v>-8184552.608873846</v>
      </c>
      <c r="L32" s="702"/>
      <c r="M32" s="329">
        <f>J32/RCL!D13</f>
        <v>-0.05909087939111971</v>
      </c>
    </row>
    <row r="33" spans="1:13" ht="15">
      <c r="A33" s="321" t="s">
        <v>577</v>
      </c>
      <c r="B33" s="381">
        <v>0</v>
      </c>
      <c r="C33" s="381">
        <f>B33/(1+Parâmetros!E11)</f>
        <v>0</v>
      </c>
      <c r="D33" s="702"/>
      <c r="E33" s="329">
        <f>B33/RCL!B13</f>
        <v>0</v>
      </c>
      <c r="F33" s="381">
        <v>0</v>
      </c>
      <c r="G33" s="382">
        <f>F33/((1+Parâmetros!E11)*(1+Parâmetros!F11))</f>
        <v>0</v>
      </c>
      <c r="H33" s="702"/>
      <c r="I33" s="329">
        <f>F33/RCL!C13</f>
        <v>0</v>
      </c>
      <c r="J33" s="381">
        <v>0</v>
      </c>
      <c r="K33" s="382">
        <f>J33/((1+Parâmetros!E11)*(1+Parâmetros!F11)*(1+Parâmetros!G11))</f>
        <v>0</v>
      </c>
      <c r="L33" s="702"/>
      <c r="M33" s="329">
        <f>J33/RCL!D13</f>
        <v>0</v>
      </c>
    </row>
    <row r="34" spans="1:13" ht="15">
      <c r="A34" s="321" t="s">
        <v>578</v>
      </c>
      <c r="B34" s="381">
        <v>0</v>
      </c>
      <c r="C34" s="381">
        <f>B34/(1+Parâmetros!E11)</f>
        <v>0</v>
      </c>
      <c r="D34" s="702"/>
      <c r="E34" s="329">
        <f>B34/RCL!B13</f>
        <v>0</v>
      </c>
      <c r="F34" s="381">
        <v>0</v>
      </c>
      <c r="G34" s="382">
        <f>F34/((1+Parâmetros!E11)*(1+Parâmetros!F11))</f>
        <v>0</v>
      </c>
      <c r="H34" s="702"/>
      <c r="I34" s="329">
        <f>F34/RCL!C13</f>
        <v>0</v>
      </c>
      <c r="J34" s="381">
        <v>0</v>
      </c>
      <c r="K34" s="382">
        <f>J34/((1+Parâmetros!E11)*(1+Parâmetros!F11)*(1+Parâmetros!G11))</f>
        <v>0</v>
      </c>
      <c r="L34" s="702"/>
      <c r="M34" s="329">
        <f>J34/RCL!D13</f>
        <v>0</v>
      </c>
    </row>
    <row r="35" spans="1:13" ht="15">
      <c r="A35" s="326" t="s">
        <v>579</v>
      </c>
      <c r="B35" s="381">
        <f>B33-B34</f>
        <v>0</v>
      </c>
      <c r="C35" s="381">
        <f>B35/(1+Parâmetros!E11)</f>
        <v>0</v>
      </c>
      <c r="D35" s="703"/>
      <c r="E35" s="329">
        <f>B35/RCL!B13</f>
        <v>0</v>
      </c>
      <c r="F35" s="346">
        <f>F33-F34</f>
        <v>0</v>
      </c>
      <c r="G35" s="194">
        <f>F35/((1+Parâmetros!E11)*(1+Parâmetros!F11))</f>
        <v>0</v>
      </c>
      <c r="H35" s="703"/>
      <c r="I35" s="329">
        <f>F35/RCL!C13</f>
        <v>0</v>
      </c>
      <c r="J35" s="381">
        <f>J33-J34</f>
        <v>0</v>
      </c>
      <c r="K35" s="382">
        <f>J35/((1+Parâmetros!E11)*(1+Parâmetros!F11)*(1+Parâmetros!G11))</f>
        <v>0</v>
      </c>
      <c r="L35" s="703"/>
      <c r="M35" s="329">
        <f>J35/RCL!D13</f>
        <v>0</v>
      </c>
    </row>
    <row r="36" spans="1:13" ht="15.75" customHeight="1">
      <c r="A36" s="310" t="s">
        <v>652</v>
      </c>
      <c r="B36" s="327"/>
      <c r="C36" s="327"/>
      <c r="D36" s="327"/>
      <c r="E36" s="327"/>
      <c r="F36" s="327"/>
      <c r="G36" s="327"/>
      <c r="H36" s="327"/>
      <c r="I36" s="327"/>
      <c r="J36" s="327"/>
      <c r="K36" s="327"/>
      <c r="L36" s="327"/>
      <c r="M36" s="327"/>
    </row>
    <row r="92" spans="2:12" ht="15">
      <c r="B92" s="440"/>
      <c r="C92" s="440"/>
      <c r="D92" s="440"/>
      <c r="F92" s="440"/>
      <c r="G92" s="440"/>
      <c r="H92" s="440"/>
      <c r="J92" s="440"/>
      <c r="K92" s="440"/>
      <c r="L92" s="440"/>
    </row>
    <row r="93" spans="3:11" ht="15.75">
      <c r="C93" s="432" t="s">
        <v>656</v>
      </c>
      <c r="F93" s="1"/>
      <c r="G93" s="432" t="s">
        <v>653</v>
      </c>
      <c r="H93" s="11"/>
      <c r="K93" s="432" t="s">
        <v>654</v>
      </c>
    </row>
    <row r="94" spans="3:11" ht="15.75">
      <c r="C94" s="432" t="s">
        <v>662</v>
      </c>
      <c r="F94" s="1"/>
      <c r="G94" s="432" t="s">
        <v>657</v>
      </c>
      <c r="H94" s="11"/>
      <c r="K94" s="432" t="s">
        <v>661</v>
      </c>
    </row>
    <row r="95" spans="3:11" ht="15.75">
      <c r="C95" s="432" t="s">
        <v>658</v>
      </c>
      <c r="F95" s="1"/>
      <c r="G95" s="432" t="s">
        <v>659</v>
      </c>
      <c r="H95" s="11"/>
      <c r="K95" s="432" t="s">
        <v>660</v>
      </c>
    </row>
  </sheetData>
  <sheetProtection/>
  <mergeCells count="14">
    <mergeCell ref="A6:H6"/>
    <mergeCell ref="J6:M6"/>
    <mergeCell ref="A7:A10"/>
    <mergeCell ref="B7:E7"/>
    <mergeCell ref="F7:I7"/>
    <mergeCell ref="J7:M7"/>
    <mergeCell ref="H11:H35"/>
    <mergeCell ref="L11:L35"/>
    <mergeCell ref="A1:L1"/>
    <mergeCell ref="A2:L2"/>
    <mergeCell ref="A3:L3"/>
    <mergeCell ref="A4:L4"/>
    <mergeCell ref="A5:L5"/>
    <mergeCell ref="D11:D35"/>
  </mergeCells>
  <printOptions/>
  <pageMargins left="0.511811024" right="0.511811024" top="0.787401575" bottom="0.787401575" header="0.31496062" footer="0.31496062"/>
  <pageSetup horizontalDpi="600" verticalDpi="600" orientation="landscape" paperSize="9" scale="75" r:id="rId2"/>
  <colBreaks count="1" manualBreakCount="1">
    <brk id="13" max="65535" man="1"/>
  </colBreaks>
  <drawing r:id="rId1"/>
</worksheet>
</file>

<file path=xl/worksheets/sheet9.xml><?xml version="1.0" encoding="utf-8"?>
<worksheet xmlns="http://schemas.openxmlformats.org/spreadsheetml/2006/main" xmlns:r="http://schemas.openxmlformats.org/officeDocument/2006/relationships">
  <dimension ref="A1:L36"/>
  <sheetViews>
    <sheetView zoomScale="90" zoomScaleNormal="90" zoomScaleSheetLayoutView="90" zoomScalePageLayoutView="0" workbookViewId="0" topLeftCell="A1">
      <selection activeCell="L36" sqref="A1:L36"/>
    </sheetView>
  </sheetViews>
  <sheetFormatPr defaultColWidth="9.140625" defaultRowHeight="12.75"/>
  <cols>
    <col min="1" max="1" width="32.7109375" style="13" customWidth="1"/>
    <col min="2" max="2" width="12.7109375" style="13" customWidth="1"/>
    <col min="3" max="3" width="13.421875" style="13" customWidth="1"/>
    <col min="4" max="4" width="12.140625" style="13" customWidth="1"/>
    <col min="5" max="6" width="12.8515625" style="13" customWidth="1"/>
    <col min="7" max="7" width="10.7109375" style="13" customWidth="1"/>
    <col min="8" max="8" width="12.8515625" style="13" customWidth="1"/>
    <col min="9" max="9" width="13.140625" style="13" customWidth="1"/>
    <col min="10" max="10" width="10.140625" style="13" customWidth="1"/>
    <col min="11" max="16384" width="9.140625" style="13" customWidth="1"/>
  </cols>
  <sheetData>
    <row r="1" spans="1:10" ht="14.25">
      <c r="A1" s="722" t="str">
        <f>Parâmetros!A7</f>
        <v>Município de : Caçapava do Sul / RS.</v>
      </c>
      <c r="B1" s="720"/>
      <c r="C1" s="720"/>
      <c r="D1" s="720"/>
      <c r="E1" s="720"/>
      <c r="F1" s="720"/>
      <c r="G1" s="720"/>
      <c r="H1" s="720"/>
      <c r="I1" s="720"/>
      <c r="J1" s="721"/>
    </row>
    <row r="2" spans="1:10" ht="14.25">
      <c r="A2" s="719" t="s">
        <v>36</v>
      </c>
      <c r="B2" s="720"/>
      <c r="C2" s="720"/>
      <c r="D2" s="720"/>
      <c r="E2" s="720"/>
      <c r="F2" s="720"/>
      <c r="G2" s="720"/>
      <c r="H2" s="720"/>
      <c r="I2" s="720"/>
      <c r="J2" s="721"/>
    </row>
    <row r="3" spans="1:10" ht="14.25">
      <c r="A3" s="719" t="s">
        <v>144</v>
      </c>
      <c r="B3" s="720"/>
      <c r="C3" s="720"/>
      <c r="D3" s="720"/>
      <c r="E3" s="720"/>
      <c r="F3" s="720"/>
      <c r="G3" s="720"/>
      <c r="H3" s="720"/>
      <c r="I3" s="720"/>
      <c r="J3" s="721"/>
    </row>
    <row r="4" spans="1:10" ht="15">
      <c r="A4" s="723" t="s">
        <v>405</v>
      </c>
      <c r="B4" s="724"/>
      <c r="C4" s="724"/>
      <c r="D4" s="724"/>
      <c r="E4" s="724"/>
      <c r="F4" s="724"/>
      <c r="G4" s="724"/>
      <c r="H4" s="724"/>
      <c r="I4" s="724"/>
      <c r="J4" s="725"/>
    </row>
    <row r="5" spans="1:10" ht="17.25" customHeight="1">
      <c r="A5" s="719" t="s">
        <v>619</v>
      </c>
      <c r="B5" s="720"/>
      <c r="C5" s="720"/>
      <c r="D5" s="720"/>
      <c r="E5" s="720"/>
      <c r="F5" s="720"/>
      <c r="G5" s="720"/>
      <c r="H5" s="720"/>
      <c r="I5" s="720"/>
      <c r="J5" s="721"/>
    </row>
    <row r="6" spans="1:10" ht="21.75" customHeight="1">
      <c r="A6" s="121"/>
      <c r="B6" s="122"/>
      <c r="C6" s="122"/>
      <c r="D6" s="122"/>
      <c r="E6" s="122"/>
      <c r="F6" s="122"/>
      <c r="G6" s="122"/>
      <c r="H6" s="122"/>
      <c r="I6" s="122"/>
      <c r="J6" s="123"/>
    </row>
    <row r="7" spans="1:10" ht="15">
      <c r="A7" s="736" t="s">
        <v>417</v>
      </c>
      <c r="B7" s="737"/>
      <c r="C7" s="737"/>
      <c r="D7" s="738"/>
      <c r="E7" s="726"/>
      <c r="F7" s="726"/>
      <c r="G7" s="726"/>
      <c r="H7" s="727">
        <v>1</v>
      </c>
      <c r="I7" s="728"/>
      <c r="J7" s="728"/>
    </row>
    <row r="8" spans="1:10" s="14" customFormat="1" ht="14.25">
      <c r="A8" s="730" t="s">
        <v>56</v>
      </c>
      <c r="B8" s="733">
        <f>Parâmetros!E10</f>
        <v>2023</v>
      </c>
      <c r="C8" s="734"/>
      <c r="D8" s="735"/>
      <c r="E8" s="733">
        <f>B8+1</f>
        <v>2024</v>
      </c>
      <c r="F8" s="734"/>
      <c r="G8" s="735"/>
      <c r="H8" s="733">
        <f>E8+1</f>
        <v>2025</v>
      </c>
      <c r="I8" s="734"/>
      <c r="J8" s="735"/>
    </row>
    <row r="9" spans="1:10" ht="15.75" customHeight="1">
      <c r="A9" s="731"/>
      <c r="B9" s="332" t="s">
        <v>57</v>
      </c>
      <c r="C9" s="333" t="s">
        <v>57</v>
      </c>
      <c r="D9" s="333" t="s">
        <v>58</v>
      </c>
      <c r="E9" s="333" t="s">
        <v>57</v>
      </c>
      <c r="F9" s="333" t="s">
        <v>57</v>
      </c>
      <c r="G9" s="333" t="s">
        <v>58</v>
      </c>
      <c r="H9" s="333" t="s">
        <v>57</v>
      </c>
      <c r="I9" s="333" t="s">
        <v>57</v>
      </c>
      <c r="J9" s="334" t="s">
        <v>58</v>
      </c>
    </row>
    <row r="10" spans="1:10" ht="15.75" customHeight="1">
      <c r="A10" s="731"/>
      <c r="B10" s="335" t="s">
        <v>59</v>
      </c>
      <c r="C10" s="336" t="s">
        <v>60</v>
      </c>
      <c r="D10" s="336" t="s">
        <v>61</v>
      </c>
      <c r="E10" s="336" t="s">
        <v>59</v>
      </c>
      <c r="F10" s="336" t="s">
        <v>60</v>
      </c>
      <c r="G10" s="336" t="s">
        <v>62</v>
      </c>
      <c r="H10" s="336" t="s">
        <v>59</v>
      </c>
      <c r="I10" s="336" t="s">
        <v>60</v>
      </c>
      <c r="J10" s="337" t="s">
        <v>63</v>
      </c>
    </row>
    <row r="11" spans="1:10" ht="15.75" customHeight="1">
      <c r="A11" s="732"/>
      <c r="B11" s="338" t="s">
        <v>64</v>
      </c>
      <c r="C11" s="339"/>
      <c r="D11" s="340" t="s">
        <v>65</v>
      </c>
      <c r="E11" s="340" t="s">
        <v>66</v>
      </c>
      <c r="F11" s="339"/>
      <c r="G11" s="340" t="s">
        <v>65</v>
      </c>
      <c r="H11" s="340" t="s">
        <v>67</v>
      </c>
      <c r="I11" s="339"/>
      <c r="J11" s="341" t="s">
        <v>65</v>
      </c>
    </row>
    <row r="12" spans="1:10" ht="14.25" customHeight="1">
      <c r="A12" s="342" t="s">
        <v>138</v>
      </c>
      <c r="B12" s="398">
        <f>Projeções!H17+Projeções!H28+Projeções!H73+Projeções!H96+Projeções!H99</f>
        <v>39023553.70660209</v>
      </c>
      <c r="C12" s="398">
        <f>B12/(1+Parâmetros!E11)</f>
        <v>37486602.98424793</v>
      </c>
      <c r="D12" s="739" t="s">
        <v>620</v>
      </c>
      <c r="E12" s="398">
        <f>Projeções!I17+Projeções!I28+Projeções!I73+Projeções!I96+Projeções!I99</f>
        <v>42949697.59683032</v>
      </c>
      <c r="F12" s="398">
        <f>E12/((1+Parâmetros!E11)*(1+Parâmetros!F11))</f>
        <v>39978793.49465549</v>
      </c>
      <c r="G12" s="739" t="s">
        <v>620</v>
      </c>
      <c r="H12" s="401">
        <f>Projeções!J17+Projeções!J28+Projeções!J73+Projeções!J96+Projeções!J99</f>
        <v>46891412.01175911</v>
      </c>
      <c r="I12" s="401">
        <f>H12/((1+Parâmetros!E11)*(1+Parâmetros!F11)*(1+Parâmetros!G11))</f>
        <v>42376556.09344698</v>
      </c>
      <c r="J12" s="739" t="s">
        <v>620</v>
      </c>
    </row>
    <row r="13" spans="1:10" ht="14.25">
      <c r="A13" s="342" t="s">
        <v>139</v>
      </c>
      <c r="B13" s="399">
        <f>B12-Projeções!H28</f>
        <v>36004218.49605814</v>
      </c>
      <c r="C13" s="399">
        <f>B13/(1+Parâmetros!E11)</f>
        <v>34586184.91456114</v>
      </c>
      <c r="D13" s="740"/>
      <c r="E13" s="399">
        <f>E12-Projeções!I28</f>
        <v>39771424.58080334</v>
      </c>
      <c r="F13" s="399">
        <f>E13/((1+Parâmetros!E11)*(1+Parâmetros!F11))</f>
        <v>37020367.06357496</v>
      </c>
      <c r="G13" s="740"/>
      <c r="H13" s="402">
        <f>H12-Projeções!J28</f>
        <v>43552318.381121166</v>
      </c>
      <c r="I13" s="402">
        <f>H13/((1+Parâmetros!E11)*(1+Parâmetros!F11)*(1+Parâmetros!G11))</f>
        <v>39358961.13374484</v>
      </c>
      <c r="J13" s="740"/>
    </row>
    <row r="14" spans="1:10" ht="14.25">
      <c r="A14" s="342" t="s">
        <v>140</v>
      </c>
      <c r="B14" s="399">
        <f>Projeções!H122+Projeções!H128+Projeções!H134+Projeções!H141+Projeções!H153+Projeções!H157</f>
        <v>41011803.80158429</v>
      </c>
      <c r="C14" s="399">
        <f>B14/(1+Parâmetros!E11)</f>
        <v>39396545.43860163</v>
      </c>
      <c r="D14" s="740"/>
      <c r="E14" s="399">
        <f>Projeções!I122+Projeções!I128+Projeções!I134+Projeções!I141+Projeções!I153+Projeções!I157</f>
        <v>45001571.69485195</v>
      </c>
      <c r="F14" s="399">
        <f>E14/((1+Parâmetros!E11)*(1+Parâmetros!F11))</f>
        <v>41888735.94900918</v>
      </c>
      <c r="G14" s="740"/>
      <c r="H14" s="402">
        <f>Projeções!J122+Projeções!J128+Projeções!J134+Projeções!J141+Projeções!J153+Projeções!J157</f>
        <v>49004842.33272139</v>
      </c>
      <c r="I14" s="402">
        <f>H14/((1+Parâmetros!E11)*(1+Parâmetros!F11)*(1+Parâmetros!G11))</f>
        <v>44286498.54780068</v>
      </c>
      <c r="J14" s="740"/>
    </row>
    <row r="15" spans="1:10" ht="14.25">
      <c r="A15" s="342" t="s">
        <v>141</v>
      </c>
      <c r="B15" s="399">
        <f>B14-Projeções!H128-Projeções!H153</f>
        <v>41011803.80158429</v>
      </c>
      <c r="C15" s="399">
        <f>B15/(1+Parâmetros!E11)</f>
        <v>39396545.43860163</v>
      </c>
      <c r="D15" s="740"/>
      <c r="E15" s="399">
        <f>E14-Projeções!I128-Projeções!I153</f>
        <v>45001571.69485195</v>
      </c>
      <c r="F15" s="399">
        <f>E15/((1+Parâmetros!E11)*(1+Parâmetros!F11))</f>
        <v>41888735.94900918</v>
      </c>
      <c r="G15" s="740"/>
      <c r="H15" s="402">
        <f>H14-Projeções!J128-Projeções!J153</f>
        <v>49004842.33272139</v>
      </c>
      <c r="I15" s="402">
        <f>H15/((1+Parâmetros!E11)*(1+Parâmetros!F11)*(1+Parâmetros!G11))</f>
        <v>44286498.54780068</v>
      </c>
      <c r="J15" s="740"/>
    </row>
    <row r="16" spans="1:10" ht="21.75" customHeight="1">
      <c r="A16" s="342" t="s">
        <v>142</v>
      </c>
      <c r="B16" s="400">
        <f>B13-B15</f>
        <v>-5007585.305526145</v>
      </c>
      <c r="C16" s="400">
        <f>C13-C15</f>
        <v>-4810360.52404049</v>
      </c>
      <c r="D16" s="741"/>
      <c r="E16" s="400">
        <f>E13-E15</f>
        <v>-5230147.114048608</v>
      </c>
      <c r="F16" s="400">
        <f>F13-F15</f>
        <v>-4868368.885434218</v>
      </c>
      <c r="G16" s="741"/>
      <c r="H16" s="403">
        <f>H13-H15</f>
        <v>-5452523.951600224</v>
      </c>
      <c r="I16" s="403">
        <f>I13-I15</f>
        <v>-4927537.414055839</v>
      </c>
      <c r="J16" s="741"/>
    </row>
    <row r="18" spans="1:10" s="124" customFormat="1" ht="15" customHeight="1">
      <c r="A18" s="729" t="s">
        <v>652</v>
      </c>
      <c r="B18" s="729"/>
      <c r="C18" s="729"/>
      <c r="D18" s="729"/>
      <c r="E18" s="729"/>
      <c r="F18" s="729"/>
      <c r="G18" s="729"/>
      <c r="H18" s="729"/>
      <c r="I18" s="729"/>
      <c r="J18" s="729"/>
    </row>
    <row r="33" spans="2:12" ht="15">
      <c r="B33" s="440"/>
      <c r="C33" s="440"/>
      <c r="D33" s="440"/>
      <c r="E33" s="308"/>
      <c r="F33" s="440"/>
      <c r="G33" s="440"/>
      <c r="H33" s="440"/>
      <c r="I33" s="308"/>
      <c r="J33" s="440"/>
      <c r="K33" s="440"/>
      <c r="L33" s="440"/>
    </row>
    <row r="34" spans="2:12" ht="15.75">
      <c r="B34" s="308"/>
      <c r="C34" s="432" t="s">
        <v>656</v>
      </c>
      <c r="D34" s="308"/>
      <c r="E34" s="308"/>
      <c r="F34" s="1"/>
      <c r="G34" s="432" t="s">
        <v>653</v>
      </c>
      <c r="H34" s="11"/>
      <c r="I34" s="308"/>
      <c r="J34" s="308"/>
      <c r="K34" s="432" t="s">
        <v>654</v>
      </c>
      <c r="L34" s="308"/>
    </row>
    <row r="35" spans="2:12" ht="15.75">
      <c r="B35" s="308"/>
      <c r="C35" s="432" t="s">
        <v>662</v>
      </c>
      <c r="D35" s="308"/>
      <c r="E35" s="308"/>
      <c r="F35" s="1"/>
      <c r="G35" s="432" t="s">
        <v>657</v>
      </c>
      <c r="H35" s="11"/>
      <c r="I35" s="308"/>
      <c r="J35" s="308"/>
      <c r="K35" s="432" t="s">
        <v>661</v>
      </c>
      <c r="L35" s="308"/>
    </row>
    <row r="36" spans="2:12" ht="15.75">
      <c r="B36" s="308"/>
      <c r="C36" s="432" t="s">
        <v>658</v>
      </c>
      <c r="D36" s="308"/>
      <c r="E36" s="308"/>
      <c r="F36" s="1"/>
      <c r="G36" s="432" t="s">
        <v>659</v>
      </c>
      <c r="H36" s="11"/>
      <c r="I36" s="308"/>
      <c r="J36" s="308"/>
      <c r="K36" s="432" t="s">
        <v>660</v>
      </c>
      <c r="L36" s="308"/>
    </row>
  </sheetData>
  <sheetProtection/>
  <mergeCells count="16">
    <mergeCell ref="A18:J18"/>
    <mergeCell ref="A8:A11"/>
    <mergeCell ref="B8:D8"/>
    <mergeCell ref="E8:G8"/>
    <mergeCell ref="H8:J8"/>
    <mergeCell ref="A7:D7"/>
    <mergeCell ref="D12:D16"/>
    <mergeCell ref="G12:G16"/>
    <mergeCell ref="J12:J16"/>
    <mergeCell ref="A5:J5"/>
    <mergeCell ref="A1:J1"/>
    <mergeCell ref="A2:J2"/>
    <mergeCell ref="A3:J3"/>
    <mergeCell ref="A4:J4"/>
    <mergeCell ref="E7:G7"/>
    <mergeCell ref="H7:J7"/>
  </mergeCells>
  <printOptions/>
  <pageMargins left="0.787401575" right="0.787401575" top="0.984251969" bottom="0.984251969" header="0.492125985" footer="0.492125985"/>
  <pageSetup horizontalDpi="300" verticalDpi="300" orientation="landscape"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Metas e Riscos Fiscais</dc:title>
  <dc:subject/>
  <dc:creator>Lourenço de Wallau - Deleg de Prefeituras Municipais</dc:creator>
  <cp:keywords/>
  <dc:description/>
  <cp:lastModifiedBy>Rose</cp:lastModifiedBy>
  <cp:lastPrinted>2022-09-29T14:08:43Z</cp:lastPrinted>
  <dcterms:created xsi:type="dcterms:W3CDTF">2000-07-04T17:38:30Z</dcterms:created>
  <dcterms:modified xsi:type="dcterms:W3CDTF">2022-09-29T14:44:14Z</dcterms:modified>
  <cp:category/>
  <cp:version/>
  <cp:contentType/>
  <cp:contentStatus/>
</cp:coreProperties>
</file>