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PA 2022-2025\PPA_2022\Tabelas art. 8º\"/>
    </mc:Choice>
  </mc:AlternateContent>
  <xr:revisionPtr revIDLastSave="0" documentId="13_ncr:1_{53353458-BB5A-420B-8AEF-BFD76B07D980}" xr6:coauthVersionLast="45" xr6:coauthVersionMax="45" xr10:uidLastSave="{00000000-0000-0000-0000-000000000000}"/>
  <bookViews>
    <workbookView xWindow="-120" yWindow="-120" windowWidth="20730" windowHeight="11160" firstSheet="2" activeTab="8" xr2:uid="{00000000-000D-0000-FFFF-FFFF00000000}"/>
  </bookViews>
  <sheets>
    <sheet name="Tabela 01" sheetId="2" r:id="rId1"/>
    <sheet name="Tabela 02" sheetId="12" r:id="rId2"/>
    <sheet name="Tabela 03" sheetId="13" r:id="rId3"/>
    <sheet name="Tabela 04" sheetId="14" r:id="rId4"/>
    <sheet name="Tabela 05" sheetId="15" r:id="rId5"/>
    <sheet name="Tabela 06" sheetId="16" r:id="rId6"/>
    <sheet name="Tabela 07" sheetId="17" r:id="rId7"/>
    <sheet name="Tabela 08" sheetId="9" r:id="rId8"/>
    <sheet name="Tabela 09" sheetId="11" r:id="rId9"/>
    <sheet name="Estudos_Rec" sheetId="1" r:id="rId10"/>
    <sheet name="Detal_1" sheetId="5" r:id="rId11"/>
    <sheet name="Det_2RecProp" sheetId="8" r:id="rId12"/>
    <sheet name="RecPref" sheetId="6" r:id="rId13"/>
    <sheet name="Dist_p_Órgão" sheetId="10" r:id="rId14"/>
  </sheets>
  <externalReferences>
    <externalReference r:id="rId15"/>
    <externalReference r:id="rId16"/>
  </externalReferences>
  <definedNames>
    <definedName name="_xlnm.Print_Area" localSheetId="2">'Tabela 03'!$A$1:$E$40</definedName>
    <definedName name="_xlnm.Print_Area" localSheetId="3">'Tabela 04'!$A$1:$G$44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7" l="1"/>
  <c r="G14" i="17"/>
  <c r="E14" i="17"/>
  <c r="C14" i="17"/>
  <c r="G12" i="17"/>
  <c r="F12" i="17"/>
  <c r="F14" i="17" s="1"/>
  <c r="E12" i="17"/>
  <c r="D12" i="17"/>
  <c r="D14" i="17" s="1"/>
  <c r="C12" i="17"/>
  <c r="G34" i="16"/>
  <c r="G32" i="16" s="1"/>
  <c r="F32" i="16"/>
  <c r="D32" i="16"/>
  <c r="G30" i="16"/>
  <c r="F30" i="16"/>
  <c r="E30" i="16"/>
  <c r="E32" i="16" s="1"/>
  <c r="D30" i="16"/>
  <c r="C30" i="16"/>
  <c r="C32" i="16" s="1"/>
  <c r="F24" i="15"/>
  <c r="C24" i="15"/>
  <c r="G20" i="15"/>
  <c r="F20" i="15"/>
  <c r="F22" i="15" s="1"/>
  <c r="E20" i="15"/>
  <c r="E22" i="15" s="1"/>
  <c r="D20" i="15"/>
  <c r="D22" i="15" s="1"/>
  <c r="C20" i="15"/>
  <c r="G27" i="14"/>
  <c r="G26" i="14"/>
  <c r="F25" i="14"/>
  <c r="E25" i="14"/>
  <c r="D25" i="14"/>
  <c r="C25" i="14"/>
  <c r="G25" i="14" s="1"/>
  <c r="F24" i="14"/>
  <c r="E24" i="14"/>
  <c r="D24" i="14"/>
  <c r="C24" i="14"/>
  <c r="G24" i="14" s="1"/>
  <c r="F23" i="14"/>
  <c r="E23" i="14"/>
  <c r="D23" i="14"/>
  <c r="C23" i="14"/>
  <c r="G23" i="14" s="1"/>
  <c r="F22" i="14"/>
  <c r="E22" i="14"/>
  <c r="D22" i="14"/>
  <c r="C22" i="14"/>
  <c r="G22" i="14" s="1"/>
  <c r="F21" i="14"/>
  <c r="E21" i="14"/>
  <c r="D21" i="14"/>
  <c r="C21" i="14"/>
  <c r="G21" i="14" s="1"/>
  <c r="F20" i="14"/>
  <c r="E20" i="14"/>
  <c r="D20" i="14"/>
  <c r="C20" i="14"/>
  <c r="G20" i="14" s="1"/>
  <c r="F19" i="14"/>
  <c r="E19" i="14"/>
  <c r="D19" i="14"/>
  <c r="C19" i="14"/>
  <c r="G19" i="14" s="1"/>
  <c r="G18" i="14"/>
  <c r="G17" i="14"/>
  <c r="F16" i="14"/>
  <c r="E16" i="14"/>
  <c r="D16" i="14"/>
  <c r="C16" i="14"/>
  <c r="G16" i="14" s="1"/>
  <c r="F15" i="14"/>
  <c r="E15" i="14"/>
  <c r="D15" i="14"/>
  <c r="C15" i="14"/>
  <c r="G15" i="14" s="1"/>
  <c r="F14" i="14"/>
  <c r="E14" i="14"/>
  <c r="D14" i="14"/>
  <c r="C14" i="14"/>
  <c r="G14" i="14" s="1"/>
  <c r="F13" i="14"/>
  <c r="E13" i="14"/>
  <c r="D13" i="14"/>
  <c r="C13" i="14"/>
  <c r="G13" i="14" s="1"/>
  <c r="F12" i="14"/>
  <c r="E12" i="14"/>
  <c r="D12" i="14"/>
  <c r="C12" i="14"/>
  <c r="G12" i="14" s="1"/>
  <c r="G11" i="14"/>
  <c r="G10" i="14"/>
  <c r="G9" i="14"/>
  <c r="F8" i="14"/>
  <c r="E8" i="14"/>
  <c r="E28" i="14" s="1"/>
  <c r="E36" i="14" s="1"/>
  <c r="D8" i="14"/>
  <c r="C8" i="14"/>
  <c r="C28" i="14" s="1"/>
  <c r="F7" i="14"/>
  <c r="F28" i="14" s="1"/>
  <c r="F36" i="14" s="1"/>
  <c r="E7" i="14"/>
  <c r="D7" i="14"/>
  <c r="D28" i="14" s="1"/>
  <c r="D36" i="14" s="1"/>
  <c r="C7" i="14"/>
  <c r="G7" i="14" s="1"/>
  <c r="C22" i="15" l="1"/>
  <c r="G24" i="15"/>
  <c r="G22" i="15" s="1"/>
  <c r="C36" i="14"/>
  <c r="G36" i="14" s="1"/>
  <c r="G28" i="14"/>
  <c r="G8" i="14"/>
  <c r="E13" i="13" l="1"/>
  <c r="D13" i="13"/>
  <c r="C13" i="13"/>
  <c r="B13" i="13"/>
  <c r="E6" i="13"/>
  <c r="D6" i="13"/>
  <c r="C6" i="13"/>
  <c r="B6" i="13"/>
  <c r="A2" i="13"/>
  <c r="A1" i="13"/>
  <c r="G14" i="12" l="1"/>
  <c r="F14" i="12"/>
  <c r="F31" i="12" s="1"/>
  <c r="E14" i="12"/>
  <c r="E31" i="12" s="1"/>
  <c r="D14" i="12"/>
  <c r="D31" i="12" s="1"/>
  <c r="C14" i="12"/>
  <c r="C31" i="12" s="1"/>
  <c r="G68" i="11"/>
  <c r="C68" i="11"/>
  <c r="G67" i="11"/>
  <c r="F67" i="11"/>
  <c r="F68" i="11" s="1"/>
  <c r="E67" i="11"/>
  <c r="E68" i="11" s="1"/>
  <c r="D67" i="11"/>
  <c r="D68" i="11" s="1"/>
  <c r="C67" i="11"/>
  <c r="F6" i="11"/>
  <c r="E6" i="11"/>
  <c r="D6" i="11"/>
  <c r="C6" i="11"/>
  <c r="G5" i="11"/>
  <c r="G4" i="11"/>
  <c r="G3" i="11"/>
  <c r="M167" i="2"/>
  <c r="L36" i="10"/>
  <c r="I159" i="2"/>
  <c r="E62" i="2"/>
  <c r="M157" i="2"/>
  <c r="M158" i="2" s="1"/>
  <c r="D234" i="8"/>
  <c r="E232" i="8" s="1"/>
  <c r="G145" i="2"/>
  <c r="G161" i="8"/>
  <c r="J146" i="2"/>
  <c r="D171" i="8" s="1"/>
  <c r="I146" i="2"/>
  <c r="K146" i="2" s="1"/>
  <c r="E171" i="8" s="1"/>
  <c r="F145" i="2"/>
  <c r="J145" i="2" s="1"/>
  <c r="M150" i="2"/>
  <c r="F31" i="10"/>
  <c r="E31" i="10"/>
  <c r="D31" i="10"/>
  <c r="C31" i="10"/>
  <c r="F27" i="10"/>
  <c r="E27" i="10"/>
  <c r="D27" i="10"/>
  <c r="C27" i="10"/>
  <c r="D23" i="10"/>
  <c r="D33" i="10" s="1"/>
  <c r="D34" i="10" s="1"/>
  <c r="E23" i="10"/>
  <c r="F23" i="10"/>
  <c r="F33" i="10" s="1"/>
  <c r="F34" i="10" s="1"/>
  <c r="C23" i="10"/>
  <c r="C33" i="10" s="1"/>
  <c r="C34" i="10" s="1"/>
  <c r="G29" i="10"/>
  <c r="G31" i="10" s="1"/>
  <c r="G25" i="10"/>
  <c r="J25" i="10" s="1"/>
  <c r="G22" i="10"/>
  <c r="G21" i="10"/>
  <c r="G20" i="10"/>
  <c r="G19" i="10"/>
  <c r="J19" i="10" s="1"/>
  <c r="G18" i="10"/>
  <c r="G17" i="10"/>
  <c r="G14" i="10"/>
  <c r="G13" i="10"/>
  <c r="G23" i="10" s="1"/>
  <c r="H10" i="10"/>
  <c r="I10" i="10"/>
  <c r="J10" i="10"/>
  <c r="H11" i="10"/>
  <c r="I11" i="10"/>
  <c r="J11" i="10"/>
  <c r="H12" i="10"/>
  <c r="I12" i="10"/>
  <c r="J12" i="10"/>
  <c r="K12" i="10"/>
  <c r="H13" i="10"/>
  <c r="I13" i="10"/>
  <c r="H14" i="10"/>
  <c r="I14" i="10"/>
  <c r="H15" i="10"/>
  <c r="I15" i="10"/>
  <c r="J15" i="10"/>
  <c r="H16" i="10"/>
  <c r="K16" i="10" s="1"/>
  <c r="I16" i="10"/>
  <c r="H17" i="10"/>
  <c r="H18" i="10"/>
  <c r="K18" i="10" s="1"/>
  <c r="I18" i="10"/>
  <c r="J18" i="10"/>
  <c r="H19" i="10"/>
  <c r="I19" i="10"/>
  <c r="H20" i="10"/>
  <c r="K20" i="10" s="1"/>
  <c r="I20" i="10"/>
  <c r="J20" i="10"/>
  <c r="H21" i="10"/>
  <c r="H25" i="10"/>
  <c r="I25" i="10"/>
  <c r="H29" i="10"/>
  <c r="I29" i="10"/>
  <c r="J29" i="10"/>
  <c r="I9" i="10"/>
  <c r="H9" i="10"/>
  <c r="J9" i="10" s="1"/>
  <c r="I47" i="9"/>
  <c r="M50" i="9"/>
  <c r="J46" i="9"/>
  <c r="K46" i="9"/>
  <c r="L46" i="9"/>
  <c r="J47" i="9"/>
  <c r="K47" i="9"/>
  <c r="L47" i="9"/>
  <c r="H47" i="9"/>
  <c r="I46" i="9"/>
  <c r="I62" i="9" s="1"/>
  <c r="I63" i="9" s="1"/>
  <c r="H46" i="9"/>
  <c r="I45" i="9"/>
  <c r="J45" i="9"/>
  <c r="K45" i="9"/>
  <c r="L45" i="9"/>
  <c r="H45" i="9"/>
  <c r="I43" i="9"/>
  <c r="J42" i="9"/>
  <c r="K42" i="9"/>
  <c r="L42" i="9"/>
  <c r="I42" i="9"/>
  <c r="H42" i="9"/>
  <c r="I41" i="9"/>
  <c r="I54" i="9" s="1"/>
  <c r="J41" i="9"/>
  <c r="J54" i="9" s="1"/>
  <c r="K41" i="9"/>
  <c r="K54" i="9" s="1"/>
  <c r="L41" i="9"/>
  <c r="L54" i="9" s="1"/>
  <c r="H41" i="9"/>
  <c r="J43" i="9"/>
  <c r="K43" i="9"/>
  <c r="I40" i="9"/>
  <c r="M44" i="9"/>
  <c r="M49" i="9"/>
  <c r="J40" i="9"/>
  <c r="K40" i="9"/>
  <c r="L40" i="9"/>
  <c r="H40" i="9"/>
  <c r="I23" i="9"/>
  <c r="J23" i="9"/>
  <c r="K23" i="9"/>
  <c r="L23" i="9"/>
  <c r="H25" i="9"/>
  <c r="J32" i="9" s="1"/>
  <c r="J17" i="9"/>
  <c r="K17" i="9"/>
  <c r="L17" i="9"/>
  <c r="I17" i="9"/>
  <c r="I16" i="9"/>
  <c r="H17" i="9"/>
  <c r="J31" i="9" s="1"/>
  <c r="K62" i="9" l="1"/>
  <c r="K63" i="9" s="1"/>
  <c r="M40" i="9"/>
  <c r="M45" i="9"/>
  <c r="M47" i="9"/>
  <c r="I55" i="9"/>
  <c r="J17" i="10"/>
  <c r="J21" i="10"/>
  <c r="M42" i="9"/>
  <c r="L43" i="9"/>
  <c r="K55" i="9"/>
  <c r="L62" i="9"/>
  <c r="L63" i="9" s="1"/>
  <c r="J62" i="9"/>
  <c r="J63" i="9" s="1"/>
  <c r="K9" i="10"/>
  <c r="K25" i="10"/>
  <c r="I21" i="10"/>
  <c r="K21" i="10" s="1"/>
  <c r="K19" i="10"/>
  <c r="I17" i="10"/>
  <c r="K15" i="10"/>
  <c r="K14" i="10"/>
  <c r="G6" i="11"/>
  <c r="G31" i="12"/>
  <c r="J16" i="10"/>
  <c r="G27" i="10"/>
  <c r="G33" i="10" s="1"/>
  <c r="J14" i="10"/>
  <c r="J13" i="10"/>
  <c r="E33" i="10"/>
  <c r="E34" i="10" s="1"/>
  <c r="M159" i="2"/>
  <c r="G230" i="8"/>
  <c r="G232" i="8" s="1"/>
  <c r="I145" i="2"/>
  <c r="L146" i="2"/>
  <c r="F171" i="8" s="1"/>
  <c r="C171" i="8"/>
  <c r="E231" i="8"/>
  <c r="E233" i="8"/>
  <c r="K11" i="10"/>
  <c r="K29" i="10"/>
  <c r="L29" i="10" s="1"/>
  <c r="K13" i="10"/>
  <c r="L21" i="10"/>
  <c r="L20" i="10"/>
  <c r="L19" i="10"/>
  <c r="L18" i="10"/>
  <c r="K17" i="10"/>
  <c r="L17" i="10" s="1"/>
  <c r="L13" i="10"/>
  <c r="L12" i="10"/>
  <c r="L16" i="10"/>
  <c r="L15" i="10"/>
  <c r="L14" i="10"/>
  <c r="L25" i="10"/>
  <c r="L11" i="10"/>
  <c r="K10" i="10"/>
  <c r="L9" i="10"/>
  <c r="M41" i="9"/>
  <c r="M43" i="9"/>
  <c r="M46" i="9"/>
  <c r="L55" i="9"/>
  <c r="J55" i="9"/>
  <c r="M54" i="9"/>
  <c r="M23" i="9"/>
  <c r="J18" i="9"/>
  <c r="K18" i="9"/>
  <c r="L18" i="9"/>
  <c r="I18" i="9"/>
  <c r="I31" i="9" s="1"/>
  <c r="H24" i="9"/>
  <c r="I32" i="9" s="1"/>
  <c r="H23" i="9"/>
  <c r="J9" i="9"/>
  <c r="K9" i="9"/>
  <c r="L9" i="9"/>
  <c r="I9" i="9"/>
  <c r="I8" i="9"/>
  <c r="H9" i="9"/>
  <c r="J30" i="9" s="1"/>
  <c r="J10" i="9"/>
  <c r="K10" i="9"/>
  <c r="L10" i="9"/>
  <c r="I10" i="9"/>
  <c r="H10" i="9"/>
  <c r="I30" i="9" s="1"/>
  <c r="H18" i="9"/>
  <c r="J8" i="9"/>
  <c r="J16" i="9"/>
  <c r="K16" i="9"/>
  <c r="L16" i="9"/>
  <c r="H16" i="9"/>
  <c r="K8" i="9"/>
  <c r="L8" i="9"/>
  <c r="D30" i="9"/>
  <c r="H8" i="9"/>
  <c r="J14" i="9"/>
  <c r="I14" i="9"/>
  <c r="F48" i="9"/>
  <c r="F46" i="9"/>
  <c r="F45" i="9"/>
  <c r="F41" i="9"/>
  <c r="D52" i="9"/>
  <c r="M62" i="9" l="1"/>
  <c r="M63" i="9" s="1"/>
  <c r="G171" i="8"/>
  <c r="M146" i="2"/>
  <c r="K145" i="2"/>
  <c r="I230" i="8" s="1"/>
  <c r="I232" i="8" s="1"/>
  <c r="F230" i="8"/>
  <c r="I233" i="8"/>
  <c r="L145" i="2"/>
  <c r="J230" i="8" s="1"/>
  <c r="J232" i="8" s="1"/>
  <c r="I231" i="8"/>
  <c r="I234" i="8" s="1"/>
  <c r="J231" i="8"/>
  <c r="G231" i="8"/>
  <c r="J233" i="8"/>
  <c r="J234" i="8" s="1"/>
  <c r="G233" i="8"/>
  <c r="F233" i="8"/>
  <c r="L10" i="10"/>
  <c r="I48" i="9"/>
  <c r="J48" i="9"/>
  <c r="J52" i="9" s="1"/>
  <c r="M55" i="9"/>
  <c r="H32" i="9"/>
  <c r="H30" i="9"/>
  <c r="H31" i="9"/>
  <c r="L14" i="9"/>
  <c r="K14" i="9"/>
  <c r="G25" i="9"/>
  <c r="G23" i="9"/>
  <c r="G22" i="9"/>
  <c r="G17" i="9"/>
  <c r="G18" i="9"/>
  <c r="G16" i="9"/>
  <c r="G21" i="9"/>
  <c r="G24" i="9"/>
  <c r="G13" i="9"/>
  <c r="I13" i="9" s="1"/>
  <c r="G41" i="9"/>
  <c r="G46" i="9"/>
  <c r="G49" i="9"/>
  <c r="G8" i="9"/>
  <c r="F24" i="9"/>
  <c r="F25" i="9"/>
  <c r="F23" i="9"/>
  <c r="F21" i="9"/>
  <c r="F19" i="9"/>
  <c r="F16" i="9"/>
  <c r="F11" i="9"/>
  <c r="F10" i="9"/>
  <c r="H27" i="9"/>
  <c r="E25" i="9"/>
  <c r="E24" i="9"/>
  <c r="E22" i="9"/>
  <c r="E23" i="9"/>
  <c r="E21" i="9"/>
  <c r="E18" i="9"/>
  <c r="E17" i="9"/>
  <c r="E19" i="9"/>
  <c r="E16" i="9"/>
  <c r="E10" i="9"/>
  <c r="E8" i="9"/>
  <c r="E11" i="9"/>
  <c r="E52" i="9"/>
  <c r="F52" i="9"/>
  <c r="H52" i="9"/>
  <c r="M22" i="9"/>
  <c r="M24" i="9"/>
  <c r="M17" i="9"/>
  <c r="M18" i="9"/>
  <c r="M16" i="9"/>
  <c r="M8" i="9"/>
  <c r="M9" i="9"/>
  <c r="M10" i="9"/>
  <c r="E12" i="9"/>
  <c r="J12" i="9" s="1"/>
  <c r="D12" i="9"/>
  <c r="J10" i="8"/>
  <c r="C169" i="8"/>
  <c r="D169" i="8"/>
  <c r="E169" i="8"/>
  <c r="F169" i="8"/>
  <c r="C170" i="8"/>
  <c r="D170" i="8"/>
  <c r="E170" i="8"/>
  <c r="F170" i="8"/>
  <c r="G158" i="8"/>
  <c r="G159" i="8"/>
  <c r="C160" i="8"/>
  <c r="F154" i="8"/>
  <c r="D154" i="8"/>
  <c r="G137" i="2"/>
  <c r="G136" i="2"/>
  <c r="G140" i="2"/>
  <c r="G139" i="2"/>
  <c r="G138" i="2"/>
  <c r="G20" i="2"/>
  <c r="G12" i="2"/>
  <c r="F137" i="2"/>
  <c r="F138" i="2"/>
  <c r="J138" i="2" s="1"/>
  <c r="D166" i="8" s="1"/>
  <c r="F136" i="2"/>
  <c r="F139" i="2"/>
  <c r="F20" i="2"/>
  <c r="F12" i="2"/>
  <c r="E137" i="2"/>
  <c r="E139" i="2"/>
  <c r="E136" i="2"/>
  <c r="I136" i="2" s="1"/>
  <c r="C164" i="8" s="1"/>
  <c r="E20" i="2"/>
  <c r="E12" i="2"/>
  <c r="D12" i="2"/>
  <c r="D139" i="2"/>
  <c r="D137" i="2"/>
  <c r="W12" i="8"/>
  <c r="W13" i="8"/>
  <c r="U14" i="8"/>
  <c r="R10" i="8" s="1"/>
  <c r="O10" i="8"/>
  <c r="O15" i="8"/>
  <c r="O14" i="8"/>
  <c r="M141" i="2"/>
  <c r="M135" i="2"/>
  <c r="G157" i="8"/>
  <c r="G155" i="8"/>
  <c r="W11" i="8"/>
  <c r="W10" i="8"/>
  <c r="O13" i="8"/>
  <c r="O12" i="8"/>
  <c r="O11" i="8"/>
  <c r="G13" i="8"/>
  <c r="F12" i="8"/>
  <c r="E12" i="8"/>
  <c r="G11" i="8"/>
  <c r="G10" i="8"/>
  <c r="M95" i="2"/>
  <c r="M94" i="2"/>
  <c r="I48" i="2"/>
  <c r="I26" i="2"/>
  <c r="J26" i="2"/>
  <c r="G16" i="2"/>
  <c r="J16" i="2" s="1"/>
  <c r="J28" i="2"/>
  <c r="I28" i="2"/>
  <c r="K28" i="2" s="1"/>
  <c r="H137" i="5"/>
  <c r="F137" i="5" s="1"/>
  <c r="H136" i="5"/>
  <c r="D136" i="5" s="1"/>
  <c r="H135" i="5"/>
  <c r="D135" i="5" s="1"/>
  <c r="H134" i="5"/>
  <c r="C134" i="5" s="1"/>
  <c r="F97" i="5"/>
  <c r="D97" i="5" s="1"/>
  <c r="F87" i="5"/>
  <c r="D87" i="5" s="1"/>
  <c r="F81" i="5"/>
  <c r="F75" i="5"/>
  <c r="F125" i="5"/>
  <c r="D125" i="5" s="1"/>
  <c r="F119" i="5"/>
  <c r="E119" i="5" s="1"/>
  <c r="F113" i="5"/>
  <c r="C113" i="5" s="1"/>
  <c r="F107" i="5"/>
  <c r="C107" i="5" s="1"/>
  <c r="E125" i="5"/>
  <c r="D119" i="5"/>
  <c r="C54" i="5"/>
  <c r="B72" i="5"/>
  <c r="G54" i="5" s="1"/>
  <c r="C48" i="5"/>
  <c r="E66" i="5"/>
  <c r="D66" i="5"/>
  <c r="C66" i="5"/>
  <c r="E60" i="5"/>
  <c r="D60" i="5"/>
  <c r="C60" i="5"/>
  <c r="E48" i="5"/>
  <c r="D48" i="5"/>
  <c r="C8" i="5"/>
  <c r="E54" i="5"/>
  <c r="D54" i="5"/>
  <c r="C14" i="5"/>
  <c r="E38" i="5"/>
  <c r="D38" i="5"/>
  <c r="C38" i="5"/>
  <c r="F32" i="5"/>
  <c r="E32" i="5" s="1"/>
  <c r="E26" i="5"/>
  <c r="D26" i="5"/>
  <c r="C26" i="5"/>
  <c r="E14" i="5"/>
  <c r="D14" i="5"/>
  <c r="F20" i="5"/>
  <c r="C20" i="5" s="1"/>
  <c r="E8" i="5"/>
  <c r="D8" i="5"/>
  <c r="G125" i="2"/>
  <c r="G123" i="2"/>
  <c r="G122" i="2"/>
  <c r="G127" i="2"/>
  <c r="G126" i="2"/>
  <c r="G124" i="2"/>
  <c r="G130" i="2"/>
  <c r="F121" i="2"/>
  <c r="F127" i="2"/>
  <c r="F124" i="2"/>
  <c r="F125" i="2"/>
  <c r="F123" i="2"/>
  <c r="F122" i="2"/>
  <c r="F126" i="2"/>
  <c r="F129" i="2"/>
  <c r="F128" i="2"/>
  <c r="E121" i="2"/>
  <c r="E123" i="2"/>
  <c r="E122" i="2"/>
  <c r="E127" i="2"/>
  <c r="E125" i="2"/>
  <c r="E124" i="2"/>
  <c r="E126" i="2"/>
  <c r="F27" i="2"/>
  <c r="G27" i="2"/>
  <c r="E133" i="2"/>
  <c r="I111" i="2"/>
  <c r="K111" i="2" s="1"/>
  <c r="H48" i="2"/>
  <c r="D33" i="2"/>
  <c r="G33" i="2"/>
  <c r="F30" i="2"/>
  <c r="G119" i="2"/>
  <c r="G30" i="2"/>
  <c r="F119" i="2"/>
  <c r="F14" i="2"/>
  <c r="I14" i="2" s="1"/>
  <c r="E119" i="2"/>
  <c r="D30" i="2"/>
  <c r="H101" i="2"/>
  <c r="H100" i="2"/>
  <c r="H102" i="2"/>
  <c r="H99" i="2"/>
  <c r="H98" i="2"/>
  <c r="H108" i="2"/>
  <c r="H110" i="2"/>
  <c r="H109" i="2"/>
  <c r="H112" i="2"/>
  <c r="J112" i="2" s="1"/>
  <c r="G110" i="2"/>
  <c r="G109" i="2"/>
  <c r="G108" i="2"/>
  <c r="G101" i="2"/>
  <c r="G100" i="2"/>
  <c r="G99" i="2"/>
  <c r="G102" i="2"/>
  <c r="G98" i="2"/>
  <c r="G97" i="2"/>
  <c r="G95" i="2"/>
  <c r="G94" i="2"/>
  <c r="G93" i="2"/>
  <c r="G92" i="2"/>
  <c r="F110" i="2"/>
  <c r="F109" i="2"/>
  <c r="F108" i="2"/>
  <c r="F102" i="2"/>
  <c r="F101" i="2"/>
  <c r="J101" i="2" s="1"/>
  <c r="F100" i="2"/>
  <c r="F99" i="2"/>
  <c r="F98" i="2"/>
  <c r="E109" i="2"/>
  <c r="E106" i="2" s="1"/>
  <c r="E99" i="2"/>
  <c r="E98" i="2"/>
  <c r="M105" i="2"/>
  <c r="M104" i="2"/>
  <c r="M103" i="2"/>
  <c r="J111" i="2"/>
  <c r="D110" i="2"/>
  <c r="D109" i="2"/>
  <c r="I109" i="2" s="1"/>
  <c r="D108" i="2"/>
  <c r="D103" i="2"/>
  <c r="D96" i="2"/>
  <c r="D112" i="2"/>
  <c r="I112" i="2" s="1"/>
  <c r="D91" i="2"/>
  <c r="J64" i="9" l="1"/>
  <c r="I30" i="10"/>
  <c r="I31" i="10" s="1"/>
  <c r="I12" i="2"/>
  <c r="J20" i="2"/>
  <c r="J139" i="2"/>
  <c r="D167" i="8" s="1"/>
  <c r="I140" i="2"/>
  <c r="C168" i="8" s="1"/>
  <c r="F232" i="8"/>
  <c r="F231" i="8"/>
  <c r="G234" i="8"/>
  <c r="G154" i="8"/>
  <c r="B10" i="8"/>
  <c r="K24" i="8" s="1"/>
  <c r="B154" i="8"/>
  <c r="E183" i="8" s="1"/>
  <c r="C183" i="8"/>
  <c r="G160" i="8"/>
  <c r="C182" i="8"/>
  <c r="I108" i="2"/>
  <c r="I110" i="2"/>
  <c r="I99" i="2"/>
  <c r="J102" i="2"/>
  <c r="J110" i="2"/>
  <c r="J12" i="2"/>
  <c r="J137" i="2"/>
  <c r="D165" i="8" s="1"/>
  <c r="L48" i="9"/>
  <c r="L52" i="9" s="1"/>
  <c r="I52" i="9"/>
  <c r="K48" i="9"/>
  <c r="K52" i="9" s="1"/>
  <c r="F182" i="8"/>
  <c r="C181" i="8"/>
  <c r="F181" i="8"/>
  <c r="E180" i="8"/>
  <c r="E182" i="8"/>
  <c r="C180" i="8"/>
  <c r="C178" i="8"/>
  <c r="E181" i="8"/>
  <c r="F180" i="8"/>
  <c r="D180" i="8"/>
  <c r="J25" i="9"/>
  <c r="I25" i="9"/>
  <c r="K25" i="9" s="1"/>
  <c r="I19" i="9"/>
  <c r="J19" i="9"/>
  <c r="K19" i="9"/>
  <c r="I21" i="9"/>
  <c r="J21" i="9"/>
  <c r="K21" i="9"/>
  <c r="I12" i="9"/>
  <c r="M14" i="9"/>
  <c r="I11" i="9"/>
  <c r="I27" i="9" s="1"/>
  <c r="J11" i="9"/>
  <c r="K11" i="9"/>
  <c r="K13" i="9"/>
  <c r="J13" i="9"/>
  <c r="D27" i="9"/>
  <c r="D28" i="9" s="1"/>
  <c r="G27" i="9"/>
  <c r="G28" i="9" s="1"/>
  <c r="F27" i="9"/>
  <c r="F28" i="9" s="1"/>
  <c r="G52" i="9"/>
  <c r="E27" i="9"/>
  <c r="E28" i="9" s="1"/>
  <c r="I100" i="2"/>
  <c r="K100" i="2" s="1"/>
  <c r="J108" i="2"/>
  <c r="L108" i="2" s="1"/>
  <c r="L26" i="2"/>
  <c r="J99" i="2"/>
  <c r="L99" i="2" s="1"/>
  <c r="D17" i="8"/>
  <c r="I139" i="2"/>
  <c r="L139" i="2" s="1"/>
  <c r="F167" i="8" s="1"/>
  <c r="I20" i="2"/>
  <c r="L20" i="2" s="1"/>
  <c r="K136" i="2"/>
  <c r="E164" i="8" s="1"/>
  <c r="I137" i="2"/>
  <c r="C165" i="8" s="1"/>
  <c r="J98" i="2"/>
  <c r="K99" i="2"/>
  <c r="K108" i="2"/>
  <c r="M108" i="2" s="1"/>
  <c r="B17" i="8"/>
  <c r="G169" i="8"/>
  <c r="G170" i="8"/>
  <c r="L12" i="2"/>
  <c r="K109" i="2"/>
  <c r="K12" i="2"/>
  <c r="L137" i="2"/>
  <c r="F165" i="8" s="1"/>
  <c r="K110" i="2"/>
  <c r="I102" i="2"/>
  <c r="J119" i="2"/>
  <c r="L28" i="2"/>
  <c r="M28" i="2" s="1"/>
  <c r="I92" i="2"/>
  <c r="I101" i="2"/>
  <c r="W14" i="8"/>
  <c r="I138" i="2"/>
  <c r="C166" i="8" s="1"/>
  <c r="K140" i="2"/>
  <c r="E168" i="8" s="1"/>
  <c r="J92" i="2"/>
  <c r="I98" i="2"/>
  <c r="K98" i="2" s="1"/>
  <c r="J100" i="2"/>
  <c r="L100" i="2" s="1"/>
  <c r="J109" i="2"/>
  <c r="L109" i="2" s="1"/>
  <c r="K20" i="2"/>
  <c r="J140" i="2"/>
  <c r="K137" i="2"/>
  <c r="J136" i="2"/>
  <c r="D164" i="8" s="1"/>
  <c r="I27" i="2"/>
  <c r="K27" i="2" s="1"/>
  <c r="I16" i="2"/>
  <c r="M25" i="8"/>
  <c r="N24" i="8"/>
  <c r="S23" i="8"/>
  <c r="F178" i="8"/>
  <c r="G12" i="8"/>
  <c r="D177" i="8"/>
  <c r="E179" i="8"/>
  <c r="D176" i="8"/>
  <c r="F176" i="8"/>
  <c r="F177" i="8"/>
  <c r="E177" i="8"/>
  <c r="D178" i="8"/>
  <c r="D179" i="8"/>
  <c r="F179" i="8"/>
  <c r="E176" i="8"/>
  <c r="E178" i="8"/>
  <c r="G156" i="8"/>
  <c r="S21" i="8"/>
  <c r="U20" i="8"/>
  <c r="M93" i="2"/>
  <c r="K26" i="2"/>
  <c r="J27" i="2"/>
  <c r="E134" i="5"/>
  <c r="E87" i="5"/>
  <c r="E136" i="5"/>
  <c r="D134" i="5"/>
  <c r="F134" i="5"/>
  <c r="C135" i="5"/>
  <c r="C137" i="5"/>
  <c r="B103" i="5"/>
  <c r="B104" i="5" s="1"/>
  <c r="C136" i="5"/>
  <c r="D137" i="5"/>
  <c r="E137" i="5"/>
  <c r="E135" i="5"/>
  <c r="I133" i="2"/>
  <c r="D32" i="5"/>
  <c r="C32" i="5"/>
  <c r="E113" i="5"/>
  <c r="C125" i="5"/>
  <c r="E75" i="5"/>
  <c r="B131" i="5"/>
  <c r="B132" i="5" s="1"/>
  <c r="C75" i="5"/>
  <c r="C87" i="5"/>
  <c r="E107" i="5"/>
  <c r="D75" i="5"/>
  <c r="G81" i="5"/>
  <c r="D107" i="5"/>
  <c r="C119" i="5"/>
  <c r="D81" i="5"/>
  <c r="G87" i="5"/>
  <c r="C81" i="5"/>
  <c r="E81" i="5"/>
  <c r="C97" i="5"/>
  <c r="E97" i="5"/>
  <c r="D113" i="5"/>
  <c r="B45" i="5"/>
  <c r="G48" i="5"/>
  <c r="E20" i="5"/>
  <c r="D20" i="5"/>
  <c r="I119" i="2"/>
  <c r="L119" i="2" s="1"/>
  <c r="D106" i="2"/>
  <c r="F96" i="2"/>
  <c r="F106" i="2"/>
  <c r="G91" i="2"/>
  <c r="I91" i="2" s="1"/>
  <c r="G96" i="2"/>
  <c r="G106" i="2"/>
  <c r="H96" i="2"/>
  <c r="H106" i="2"/>
  <c r="D90" i="2"/>
  <c r="E96" i="2"/>
  <c r="E90" i="2" s="1"/>
  <c r="J14" i="2"/>
  <c r="J91" i="2"/>
  <c r="L111" i="2"/>
  <c r="M111" i="2" s="1"/>
  <c r="L112" i="2"/>
  <c r="K112" i="2"/>
  <c r="E30" i="2"/>
  <c r="M120" i="2"/>
  <c r="M11" i="2"/>
  <c r="M15" i="2"/>
  <c r="M45" i="2"/>
  <c r="H44" i="2"/>
  <c r="H40" i="2"/>
  <c r="H39" i="2"/>
  <c r="H38" i="2"/>
  <c r="G44" i="2"/>
  <c r="G39" i="2"/>
  <c r="G38" i="2"/>
  <c r="G43" i="2"/>
  <c r="G40" i="2"/>
  <c r="F42" i="2"/>
  <c r="F39" i="2"/>
  <c r="F38" i="2"/>
  <c r="F40" i="2"/>
  <c r="E39" i="2"/>
  <c r="E38" i="2"/>
  <c r="E40" i="2"/>
  <c r="D41" i="2"/>
  <c r="D39" i="2"/>
  <c r="D38" i="2"/>
  <c r="D40" i="2"/>
  <c r="M152" i="2"/>
  <c r="M68" i="2"/>
  <c r="M118" i="2"/>
  <c r="M145" i="2"/>
  <c r="M144" i="2"/>
  <c r="M143" i="2"/>
  <c r="J67" i="2"/>
  <c r="J65" i="2"/>
  <c r="J64" i="2"/>
  <c r="J63" i="2"/>
  <c r="J57" i="2"/>
  <c r="J56" i="2"/>
  <c r="J54" i="2"/>
  <c r="J47" i="2"/>
  <c r="I67" i="2"/>
  <c r="I65" i="2"/>
  <c r="I64" i="2"/>
  <c r="K64" i="2" s="1"/>
  <c r="I63" i="2"/>
  <c r="I61" i="2"/>
  <c r="I60" i="2"/>
  <c r="I59" i="2"/>
  <c r="M59" i="2" s="1"/>
  <c r="I57" i="2"/>
  <c r="I58" i="2"/>
  <c r="M58" i="2" s="1"/>
  <c r="I56" i="2"/>
  <c r="I54" i="2"/>
  <c r="I53" i="2"/>
  <c r="M53" i="2" s="1"/>
  <c r="I52" i="2"/>
  <c r="M52" i="2" s="1"/>
  <c r="I51" i="2"/>
  <c r="M51" i="2" s="1"/>
  <c r="I50" i="2"/>
  <c r="M50" i="2" s="1"/>
  <c r="I49" i="2"/>
  <c r="M49" i="2" s="1"/>
  <c r="M48" i="2"/>
  <c r="I47" i="2"/>
  <c r="K47" i="2" s="1"/>
  <c r="H59" i="2"/>
  <c r="H58" i="2"/>
  <c r="H66" i="2"/>
  <c r="H46" i="2"/>
  <c r="J46" i="2" s="1"/>
  <c r="H60" i="2"/>
  <c r="H61" i="2"/>
  <c r="J61" i="2" s="1"/>
  <c r="H53" i="2"/>
  <c r="H52" i="2"/>
  <c r="H51" i="2"/>
  <c r="H50" i="2"/>
  <c r="H49" i="2"/>
  <c r="G68" i="2"/>
  <c r="F68" i="2"/>
  <c r="G62" i="2"/>
  <c r="F62" i="2"/>
  <c r="E68" i="2"/>
  <c r="D46" i="2"/>
  <c r="I46" i="2" s="1"/>
  <c r="M132" i="2"/>
  <c r="J84" i="2"/>
  <c r="J121" i="2"/>
  <c r="J122" i="2"/>
  <c r="J123" i="2"/>
  <c r="J124" i="2"/>
  <c r="J125" i="2"/>
  <c r="J126" i="2"/>
  <c r="J127" i="2"/>
  <c r="M29" i="2"/>
  <c r="M69" i="2"/>
  <c r="M77" i="2"/>
  <c r="M78" i="2"/>
  <c r="M81" i="2"/>
  <c r="M87" i="2"/>
  <c r="M89" i="2"/>
  <c r="I84" i="2"/>
  <c r="K84" i="2" s="1"/>
  <c r="D124" i="2"/>
  <c r="I124" i="2" s="1"/>
  <c r="D127" i="2"/>
  <c r="I127" i="2" s="1"/>
  <c r="D122" i="2"/>
  <c r="I122" i="2" s="1"/>
  <c r="D123" i="2"/>
  <c r="D121" i="2"/>
  <c r="D125" i="2"/>
  <c r="I125" i="2" s="1"/>
  <c r="D126" i="2"/>
  <c r="I126" i="2" s="1"/>
  <c r="K64" i="9" l="1"/>
  <c r="J30" i="10"/>
  <c r="J31" i="10" s="1"/>
  <c r="L64" i="9"/>
  <c r="K30" i="10"/>
  <c r="K31" i="10" s="1"/>
  <c r="I164" i="2"/>
  <c r="H26" i="10"/>
  <c r="G180" i="8"/>
  <c r="I64" i="9"/>
  <c r="H30" i="10"/>
  <c r="D183" i="8"/>
  <c r="L92" i="2"/>
  <c r="L110" i="2"/>
  <c r="F234" i="8"/>
  <c r="J156" i="2"/>
  <c r="D23" i="8"/>
  <c r="T20" i="8"/>
  <c r="V22" i="8"/>
  <c r="N25" i="8"/>
  <c r="N54" i="8" s="1"/>
  <c r="U24" i="8"/>
  <c r="M24" i="8"/>
  <c r="M53" i="8" s="1"/>
  <c r="K53" i="8"/>
  <c r="C23" i="8"/>
  <c r="C52" i="8" s="1"/>
  <c r="E23" i="8"/>
  <c r="C21" i="8"/>
  <c r="C50" i="8" s="1"/>
  <c r="N20" i="8"/>
  <c r="N23" i="8"/>
  <c r="N52" i="8" s="1"/>
  <c r="K22" i="8"/>
  <c r="V24" i="8"/>
  <c r="V53" i="8" s="1"/>
  <c r="T24" i="8"/>
  <c r="T53" i="8" s="1"/>
  <c r="L25" i="8"/>
  <c r="L54" i="8" s="1"/>
  <c r="L24" i="8"/>
  <c r="L53" i="8" s="1"/>
  <c r="S24" i="8"/>
  <c r="W24" i="8" s="1"/>
  <c r="K25" i="8"/>
  <c r="K54" i="8" s="1"/>
  <c r="C176" i="8"/>
  <c r="G176" i="8" s="1"/>
  <c r="D181" i="8"/>
  <c r="C179" i="8"/>
  <c r="G179" i="8" s="1"/>
  <c r="D182" i="8"/>
  <c r="G182" i="8" s="1"/>
  <c r="C177" i="8"/>
  <c r="G177" i="8" s="1"/>
  <c r="F183" i="8"/>
  <c r="M54" i="8"/>
  <c r="G183" i="8"/>
  <c r="M26" i="2"/>
  <c r="U53" i="8"/>
  <c r="M99" i="2"/>
  <c r="M20" i="2"/>
  <c r="J27" i="9"/>
  <c r="L21" i="9"/>
  <c r="M21" i="9" s="1"/>
  <c r="L25" i="9"/>
  <c r="M48" i="9"/>
  <c r="M52" i="9" s="1"/>
  <c r="G32" i="5"/>
  <c r="B46" i="5"/>
  <c r="M25" i="9"/>
  <c r="L19" i="9"/>
  <c r="M19" i="9" s="1"/>
  <c r="L11" i="9"/>
  <c r="L12" i="9"/>
  <c r="K12" i="9"/>
  <c r="K27" i="9" s="1"/>
  <c r="L13" i="9"/>
  <c r="M13" i="9" s="1"/>
  <c r="I123" i="2"/>
  <c r="K123" i="2" s="1"/>
  <c r="L140" i="2"/>
  <c r="F168" i="8" s="1"/>
  <c r="D168" i="8"/>
  <c r="D172" i="8" s="1"/>
  <c r="M109" i="2"/>
  <c r="M12" i="2"/>
  <c r="L98" i="2"/>
  <c r="M98" i="2" s="1"/>
  <c r="M137" i="2"/>
  <c r="E165" i="8"/>
  <c r="K139" i="2"/>
  <c r="E167" i="8" s="1"/>
  <c r="C167" i="8"/>
  <c r="C172" i="8" s="1"/>
  <c r="M110" i="2"/>
  <c r="K138" i="2"/>
  <c r="E166" i="8" s="1"/>
  <c r="K91" i="2"/>
  <c r="L27" i="2"/>
  <c r="M27" i="2" s="1"/>
  <c r="S53" i="8"/>
  <c r="L138" i="2"/>
  <c r="F166" i="8" s="1"/>
  <c r="M100" i="2"/>
  <c r="L136" i="2"/>
  <c r="K92" i="2"/>
  <c r="M92" i="2" s="1"/>
  <c r="C17" i="8"/>
  <c r="S33" i="8" s="1"/>
  <c r="F90" i="2"/>
  <c r="G136" i="5"/>
  <c r="N53" i="8"/>
  <c r="K102" i="2"/>
  <c r="K101" i="2"/>
  <c r="L101" i="2"/>
  <c r="L102" i="2"/>
  <c r="O24" i="8"/>
  <c r="D21" i="8"/>
  <c r="D50" i="8" s="1"/>
  <c r="E21" i="8"/>
  <c r="E50" i="8" s="1"/>
  <c r="U22" i="8"/>
  <c r="U51" i="8" s="1"/>
  <c r="L23" i="8"/>
  <c r="T22" i="8"/>
  <c r="T51" i="8" s="1"/>
  <c r="M22" i="8"/>
  <c r="N21" i="8"/>
  <c r="F22" i="8"/>
  <c r="V20" i="8"/>
  <c r="C20" i="8"/>
  <c r="C22" i="8"/>
  <c r="C51" i="8" s="1"/>
  <c r="F20" i="8"/>
  <c r="F49" i="8" s="1"/>
  <c r="D22" i="8"/>
  <c r="E20" i="8"/>
  <c r="E22" i="8"/>
  <c r="E51" i="8" s="1"/>
  <c r="D20" i="8"/>
  <c r="U21" i="8"/>
  <c r="L22" i="8"/>
  <c r="L51" i="8" s="1"/>
  <c r="M20" i="8"/>
  <c r="T23" i="8"/>
  <c r="T21" i="8"/>
  <c r="T50" i="8" s="1"/>
  <c r="M21" i="8"/>
  <c r="M50" i="8" s="1"/>
  <c r="M23" i="8"/>
  <c r="F21" i="8"/>
  <c r="F50" i="8" s="1"/>
  <c r="S22" i="8"/>
  <c r="S51" i="8" s="1"/>
  <c r="S20" i="8"/>
  <c r="N22" i="8"/>
  <c r="K20" i="8"/>
  <c r="V23" i="8"/>
  <c r="V21" i="8"/>
  <c r="K23" i="8"/>
  <c r="F23" i="8"/>
  <c r="F52" i="8" s="1"/>
  <c r="K21" i="8"/>
  <c r="L21" i="8"/>
  <c r="G178" i="8"/>
  <c r="U23" i="8"/>
  <c r="U52" i="8" s="1"/>
  <c r="L20" i="8"/>
  <c r="C49" i="8"/>
  <c r="U49" i="8"/>
  <c r="M51" i="8"/>
  <c r="T49" i="8"/>
  <c r="N49" i="8"/>
  <c r="S50" i="8"/>
  <c r="V51" i="8"/>
  <c r="K51" i="8"/>
  <c r="S52" i="8"/>
  <c r="E52" i="8"/>
  <c r="D49" i="8"/>
  <c r="D52" i="8"/>
  <c r="H90" i="2"/>
  <c r="L16" i="2"/>
  <c r="K60" i="2"/>
  <c r="K16" i="2"/>
  <c r="I106" i="2"/>
  <c r="K106" i="2" s="1"/>
  <c r="G97" i="5"/>
  <c r="G125" i="5"/>
  <c r="G113" i="5"/>
  <c r="G134" i="5"/>
  <c r="G135" i="5"/>
  <c r="G75" i="5"/>
  <c r="G137" i="5"/>
  <c r="L61" i="2"/>
  <c r="J106" i="2"/>
  <c r="G90" i="2"/>
  <c r="G119" i="5"/>
  <c r="G107" i="5"/>
  <c r="G20" i="5"/>
  <c r="G8" i="5"/>
  <c r="G38" i="5"/>
  <c r="G14" i="5"/>
  <c r="G26" i="5"/>
  <c r="K119" i="2"/>
  <c r="M119" i="2" s="1"/>
  <c r="M112" i="2"/>
  <c r="I62" i="2"/>
  <c r="K62" i="2" s="1"/>
  <c r="J30" i="2"/>
  <c r="I30" i="2"/>
  <c r="L14" i="2"/>
  <c r="K14" i="2"/>
  <c r="L54" i="2"/>
  <c r="I39" i="2"/>
  <c r="K39" i="2" s="1"/>
  <c r="J39" i="2"/>
  <c r="J96" i="2"/>
  <c r="I96" i="2"/>
  <c r="K96" i="2" s="1"/>
  <c r="L91" i="2"/>
  <c r="M91" i="2" s="1"/>
  <c r="I38" i="2"/>
  <c r="K38" i="2" s="1"/>
  <c r="I40" i="2"/>
  <c r="K40" i="2" s="1"/>
  <c r="J40" i="2"/>
  <c r="D68" i="2"/>
  <c r="J38" i="2"/>
  <c r="K46" i="2"/>
  <c r="K57" i="2"/>
  <c r="K61" i="2"/>
  <c r="L63" i="2"/>
  <c r="L65" i="2"/>
  <c r="L67" i="2"/>
  <c r="M41" i="2"/>
  <c r="L46" i="2"/>
  <c r="K54" i="2"/>
  <c r="L56" i="2"/>
  <c r="J60" i="2"/>
  <c r="L60" i="2" s="1"/>
  <c r="J62" i="2"/>
  <c r="K63" i="2"/>
  <c r="K65" i="2"/>
  <c r="K67" i="2"/>
  <c r="L47" i="2"/>
  <c r="M47" i="2" s="1"/>
  <c r="K56" i="2"/>
  <c r="L64" i="2"/>
  <c r="M64" i="2" s="1"/>
  <c r="L57" i="2"/>
  <c r="K126" i="2"/>
  <c r="L126" i="2"/>
  <c r="L127" i="2"/>
  <c r="K127" i="2"/>
  <c r="K125" i="2"/>
  <c r="L125" i="2"/>
  <c r="K124" i="2"/>
  <c r="L124" i="2"/>
  <c r="K122" i="2"/>
  <c r="L122" i="2"/>
  <c r="I121" i="2"/>
  <c r="I156" i="2" s="1"/>
  <c r="L84" i="2"/>
  <c r="M84" i="2" s="1"/>
  <c r="L123" i="2"/>
  <c r="H71" i="2"/>
  <c r="H72" i="2"/>
  <c r="H73" i="2"/>
  <c r="H70" i="2"/>
  <c r="H74" i="2"/>
  <c r="G71" i="2"/>
  <c r="G72" i="2"/>
  <c r="G73" i="2"/>
  <c r="G70" i="2"/>
  <c r="G74" i="2"/>
  <c r="H82" i="2"/>
  <c r="H79" i="2"/>
  <c r="G79" i="2"/>
  <c r="G82" i="2"/>
  <c r="F75" i="2"/>
  <c r="F72" i="2"/>
  <c r="F70" i="2"/>
  <c r="F74" i="2"/>
  <c r="F73" i="2"/>
  <c r="F71" i="2"/>
  <c r="F79" i="2"/>
  <c r="F80" i="2"/>
  <c r="F78" i="2"/>
  <c r="F82" i="2"/>
  <c r="E71" i="2"/>
  <c r="E70" i="2"/>
  <c r="E75" i="2"/>
  <c r="J75" i="2" s="1"/>
  <c r="E74" i="2"/>
  <c r="E73" i="2"/>
  <c r="E72" i="2"/>
  <c r="E80" i="2"/>
  <c r="E79" i="2"/>
  <c r="E78" i="2"/>
  <c r="E82" i="2"/>
  <c r="E86" i="2"/>
  <c r="D73" i="2"/>
  <c r="D74" i="2"/>
  <c r="D72" i="2"/>
  <c r="D71" i="2"/>
  <c r="D70" i="2"/>
  <c r="D75" i="2"/>
  <c r="D85" i="2"/>
  <c r="D82" i="2"/>
  <c r="D80" i="2"/>
  <c r="D78" i="2"/>
  <c r="D79" i="2"/>
  <c r="H115" i="2"/>
  <c r="H36" i="2"/>
  <c r="H133" i="2"/>
  <c r="H116" i="2"/>
  <c r="H32" i="2"/>
  <c r="H114" i="2"/>
  <c r="M37" i="2"/>
  <c r="D8" i="2"/>
  <c r="D10" i="2"/>
  <c r="D116" i="2"/>
  <c r="D115" i="2"/>
  <c r="D114" i="2"/>
  <c r="D36" i="2"/>
  <c r="D35" i="2"/>
  <c r="D32" i="2"/>
  <c r="D9" i="2"/>
  <c r="B4" i="1"/>
  <c r="G25" i="2"/>
  <c r="F25" i="2"/>
  <c r="E25" i="2"/>
  <c r="D25" i="2"/>
  <c r="G24" i="2"/>
  <c r="F24" i="2"/>
  <c r="D24" i="2"/>
  <c r="G23" i="2"/>
  <c r="F23" i="2"/>
  <c r="E23" i="2"/>
  <c r="D23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36" i="2"/>
  <c r="E36" i="2"/>
  <c r="G35" i="2"/>
  <c r="F35" i="2"/>
  <c r="E35" i="2"/>
  <c r="G34" i="2"/>
  <c r="F34" i="2"/>
  <c r="F33" i="2"/>
  <c r="E33" i="2"/>
  <c r="G32" i="2"/>
  <c r="F32" i="2"/>
  <c r="E32" i="2"/>
  <c r="F10" i="2"/>
  <c r="F9" i="2"/>
  <c r="F8" i="2"/>
  <c r="F7" i="2"/>
  <c r="E7" i="2"/>
  <c r="D34" i="1"/>
  <c r="C34" i="1"/>
  <c r="B34" i="1"/>
  <c r="F16" i="1"/>
  <c r="F15" i="1"/>
  <c r="F14" i="1"/>
  <c r="F13" i="1"/>
  <c r="F12" i="1"/>
  <c r="F11" i="1"/>
  <c r="F10" i="1"/>
  <c r="F9" i="1"/>
  <c r="F8" i="1"/>
  <c r="K164" i="2" l="1"/>
  <c r="J26" i="10"/>
  <c r="J27" i="10" s="1"/>
  <c r="J37" i="10" s="1"/>
  <c r="J164" i="2"/>
  <c r="I26" i="10"/>
  <c r="I27" i="10" s="1"/>
  <c r="I37" i="10" s="1"/>
  <c r="H27" i="10"/>
  <c r="H31" i="10"/>
  <c r="H39" i="10" s="1"/>
  <c r="L30" i="10"/>
  <c r="L31" i="10" s="1"/>
  <c r="I7" i="2"/>
  <c r="I90" i="2"/>
  <c r="M138" i="2"/>
  <c r="O25" i="8"/>
  <c r="B176" i="8"/>
  <c r="G181" i="8"/>
  <c r="E172" i="8"/>
  <c r="F216" i="8" s="1"/>
  <c r="F205" i="8"/>
  <c r="C205" i="8"/>
  <c r="D205" i="8"/>
  <c r="E205" i="8"/>
  <c r="E194" i="8"/>
  <c r="C194" i="8"/>
  <c r="F194" i="8"/>
  <c r="D194" i="8"/>
  <c r="C193" i="8"/>
  <c r="E216" i="8"/>
  <c r="O53" i="8"/>
  <c r="O54" i="8"/>
  <c r="W53" i="8"/>
  <c r="M123" i="2"/>
  <c r="G166" i="8"/>
  <c r="M11" i="9"/>
  <c r="L27" i="9"/>
  <c r="S32" i="8"/>
  <c r="M12" i="9"/>
  <c r="M136" i="2"/>
  <c r="F164" i="8"/>
  <c r="F172" i="8" s="1"/>
  <c r="G165" i="8"/>
  <c r="G168" i="8"/>
  <c r="L106" i="2"/>
  <c r="M106" i="2" s="1"/>
  <c r="M102" i="2"/>
  <c r="M101" i="2"/>
  <c r="M140" i="2"/>
  <c r="G167" i="8"/>
  <c r="M139" i="2"/>
  <c r="E30" i="8"/>
  <c r="E32" i="8"/>
  <c r="N32" i="8"/>
  <c r="C29" i="8"/>
  <c r="U29" i="8"/>
  <c r="V30" i="8"/>
  <c r="E29" i="8"/>
  <c r="N30" i="8"/>
  <c r="U31" i="8"/>
  <c r="C30" i="8"/>
  <c r="D32" i="8"/>
  <c r="S30" i="8"/>
  <c r="T29" i="8"/>
  <c r="V29" i="8"/>
  <c r="L30" i="8"/>
  <c r="T30" i="8"/>
  <c r="M31" i="8"/>
  <c r="D31" i="8"/>
  <c r="D30" i="8"/>
  <c r="F30" i="8"/>
  <c r="T31" i="8"/>
  <c r="V31" i="8"/>
  <c r="U30" i="8"/>
  <c r="C32" i="8"/>
  <c r="K31" i="8"/>
  <c r="N29" i="8"/>
  <c r="L29" i="8"/>
  <c r="K30" i="8"/>
  <c r="K32" i="8"/>
  <c r="N31" i="8"/>
  <c r="M32" i="8"/>
  <c r="M29" i="8"/>
  <c r="L32" i="8"/>
  <c r="F29" i="8"/>
  <c r="M33" i="8"/>
  <c r="N33" i="8"/>
  <c r="L34" i="8"/>
  <c r="U33" i="8"/>
  <c r="N34" i="8"/>
  <c r="V33" i="8"/>
  <c r="C31" i="8"/>
  <c r="K50" i="8"/>
  <c r="G103" i="5"/>
  <c r="L49" i="8"/>
  <c r="M49" i="8"/>
  <c r="J20" i="8"/>
  <c r="I10" i="2"/>
  <c r="G22" i="8"/>
  <c r="M52" i="8"/>
  <c r="K34" i="8"/>
  <c r="L33" i="8"/>
  <c r="M34" i="8"/>
  <c r="T33" i="8"/>
  <c r="K33" i="8"/>
  <c r="W22" i="8"/>
  <c r="G20" i="8"/>
  <c r="E17" i="8"/>
  <c r="N59" i="8" s="1"/>
  <c r="F17" i="8"/>
  <c r="K70" i="8" s="1"/>
  <c r="T52" i="8"/>
  <c r="R20" i="8"/>
  <c r="V32" i="8"/>
  <c r="E31" i="8"/>
  <c r="D51" i="8"/>
  <c r="K52" i="8"/>
  <c r="L50" i="8"/>
  <c r="L52" i="8"/>
  <c r="V52" i="8"/>
  <c r="N51" i="8"/>
  <c r="O51" i="8" s="1"/>
  <c r="S31" i="8"/>
  <c r="U50" i="8"/>
  <c r="B20" i="8"/>
  <c r="G23" i="8"/>
  <c r="E49" i="8"/>
  <c r="G49" i="8" s="1"/>
  <c r="D29" i="8"/>
  <c r="F32" i="8"/>
  <c r="O23" i="8"/>
  <c r="T32" i="8"/>
  <c r="W20" i="8"/>
  <c r="F51" i="8"/>
  <c r="F31" i="8"/>
  <c r="O20" i="8"/>
  <c r="O22" i="8"/>
  <c r="W21" i="8"/>
  <c r="O21" i="8"/>
  <c r="W23" i="8"/>
  <c r="V50" i="8"/>
  <c r="K29" i="8"/>
  <c r="S29" i="8"/>
  <c r="M30" i="8"/>
  <c r="L31" i="8"/>
  <c r="N50" i="8"/>
  <c r="V49" i="8"/>
  <c r="K49" i="8"/>
  <c r="S49" i="8"/>
  <c r="G21" i="8"/>
  <c r="U32" i="8"/>
  <c r="W51" i="8"/>
  <c r="G50" i="8"/>
  <c r="G52" i="8"/>
  <c r="M16" i="2"/>
  <c r="I25" i="2"/>
  <c r="K90" i="2"/>
  <c r="M61" i="2"/>
  <c r="J90" i="2"/>
  <c r="L90" i="2" s="1"/>
  <c r="L39" i="2"/>
  <c r="M39" i="2" s="1"/>
  <c r="K133" i="2"/>
  <c r="J133" i="2"/>
  <c r="L38" i="2"/>
  <c r="M38" i="2" s="1"/>
  <c r="G131" i="5"/>
  <c r="G45" i="5"/>
  <c r="I117" i="2"/>
  <c r="F77" i="2"/>
  <c r="M54" i="2"/>
  <c r="L96" i="2"/>
  <c r="M96" i="2" s="1"/>
  <c r="M14" i="2"/>
  <c r="K30" i="2"/>
  <c r="L30" i="2"/>
  <c r="C131" i="5"/>
  <c r="L40" i="2"/>
  <c r="M40" i="2" s="1"/>
  <c r="F17" i="1"/>
  <c r="M43" i="2"/>
  <c r="M42" i="2"/>
  <c r="I23" i="2"/>
  <c r="K23" i="2" s="1"/>
  <c r="I24" i="2"/>
  <c r="K24" i="2" s="1"/>
  <c r="J25" i="2"/>
  <c r="M88" i="2"/>
  <c r="J23" i="2"/>
  <c r="M63" i="2"/>
  <c r="M46" i="2"/>
  <c r="J24" i="2"/>
  <c r="M56" i="2"/>
  <c r="M55" i="2"/>
  <c r="M67" i="2"/>
  <c r="M65" i="2"/>
  <c r="M66" i="2"/>
  <c r="M44" i="2"/>
  <c r="M57" i="2"/>
  <c r="L62" i="2"/>
  <c r="M62" i="2" s="1"/>
  <c r="M60" i="2"/>
  <c r="J72" i="2"/>
  <c r="I75" i="2"/>
  <c r="L75" i="2" s="1"/>
  <c r="I74" i="2"/>
  <c r="K74" i="2" s="1"/>
  <c r="M122" i="2"/>
  <c r="J33" i="2"/>
  <c r="H147" i="5" s="1"/>
  <c r="J116" i="2"/>
  <c r="H172" i="5" s="1"/>
  <c r="I73" i="2"/>
  <c r="K73" i="2" s="1"/>
  <c r="E81" i="2"/>
  <c r="J73" i="2"/>
  <c r="M125" i="2"/>
  <c r="M126" i="2"/>
  <c r="I80" i="2"/>
  <c r="K80" i="2" s="1"/>
  <c r="J71" i="2"/>
  <c r="M124" i="2"/>
  <c r="M127" i="2"/>
  <c r="J32" i="2"/>
  <c r="J35" i="2"/>
  <c r="H149" i="5" s="1"/>
  <c r="J115" i="2"/>
  <c r="H171" i="5" s="1"/>
  <c r="I71" i="2"/>
  <c r="K71" i="2" s="1"/>
  <c r="J79" i="2"/>
  <c r="J74" i="2"/>
  <c r="I79" i="2"/>
  <c r="K79" i="2" s="1"/>
  <c r="I72" i="2"/>
  <c r="J82" i="2"/>
  <c r="J10" i="2"/>
  <c r="D131" i="5" s="1"/>
  <c r="I33" i="2"/>
  <c r="H141" i="5" s="1"/>
  <c r="I115" i="2"/>
  <c r="I70" i="2"/>
  <c r="K70" i="2" s="1"/>
  <c r="D76" i="2"/>
  <c r="I35" i="2"/>
  <c r="H143" i="5" s="1"/>
  <c r="I116" i="2"/>
  <c r="I82" i="2"/>
  <c r="F76" i="2"/>
  <c r="K121" i="2"/>
  <c r="K156" i="2" s="1"/>
  <c r="L121" i="2"/>
  <c r="L156" i="2" s="1"/>
  <c r="J7" i="2"/>
  <c r="J8" i="2"/>
  <c r="D72" i="5" s="1"/>
  <c r="F56" i="5" s="1"/>
  <c r="J114" i="2"/>
  <c r="H170" i="5" s="1"/>
  <c r="I9" i="2"/>
  <c r="C85" i="2"/>
  <c r="J80" i="2"/>
  <c r="G81" i="2"/>
  <c r="G76" i="2"/>
  <c r="J9" i="2"/>
  <c r="D103" i="5" s="1"/>
  <c r="J34" i="2"/>
  <c r="H148" i="5" s="1"/>
  <c r="I34" i="2"/>
  <c r="H142" i="5" s="1"/>
  <c r="J117" i="2"/>
  <c r="I32" i="2"/>
  <c r="I114" i="2"/>
  <c r="H166" i="5" s="1"/>
  <c r="I8" i="2"/>
  <c r="D81" i="2"/>
  <c r="D153" i="2" s="1"/>
  <c r="J70" i="2"/>
  <c r="E76" i="2"/>
  <c r="F81" i="2"/>
  <c r="H76" i="2"/>
  <c r="H153" i="2" s="1"/>
  <c r="D33" i="1"/>
  <c r="C33" i="1"/>
  <c r="B33" i="1"/>
  <c r="E16" i="1"/>
  <c r="E15" i="1"/>
  <c r="E14" i="1"/>
  <c r="E13" i="1"/>
  <c r="E11" i="1"/>
  <c r="E10" i="1"/>
  <c r="E9" i="1"/>
  <c r="E8" i="1"/>
  <c r="E7" i="1"/>
  <c r="E6" i="1"/>
  <c r="E5" i="1"/>
  <c r="E4" i="1"/>
  <c r="D32" i="1"/>
  <c r="B32" i="1"/>
  <c r="D16" i="1"/>
  <c r="D15" i="1"/>
  <c r="D14" i="1"/>
  <c r="D13" i="1"/>
  <c r="D12" i="1"/>
  <c r="D11" i="1"/>
  <c r="D9" i="1"/>
  <c r="D8" i="1"/>
  <c r="D4" i="1"/>
  <c r="D31" i="1"/>
  <c r="C31" i="1"/>
  <c r="B31" i="1"/>
  <c r="B16" i="1"/>
  <c r="B15" i="1"/>
  <c r="B14" i="1"/>
  <c r="B12" i="1"/>
  <c r="B11" i="1"/>
  <c r="B10" i="1"/>
  <c r="B9" i="1"/>
  <c r="L164" i="2" l="1"/>
  <c r="K26" i="10"/>
  <c r="H38" i="10"/>
  <c r="H37" i="10"/>
  <c r="C216" i="8"/>
  <c r="D216" i="8"/>
  <c r="G205" i="8"/>
  <c r="F227" i="8"/>
  <c r="C227" i="8"/>
  <c r="D227" i="8"/>
  <c r="E227" i="8"/>
  <c r="G194" i="8"/>
  <c r="H140" i="5"/>
  <c r="I151" i="2"/>
  <c r="I158" i="2" s="1"/>
  <c r="D45" i="5"/>
  <c r="F34" i="5" s="1"/>
  <c r="G34" i="5" s="1"/>
  <c r="H146" i="5"/>
  <c r="E146" i="5" s="1"/>
  <c r="J151" i="2"/>
  <c r="C45" i="5"/>
  <c r="F39" i="5" s="1"/>
  <c r="D39" i="5" s="1"/>
  <c r="M27" i="9"/>
  <c r="D188" i="8"/>
  <c r="F190" i="8"/>
  <c r="E193" i="8"/>
  <c r="C192" i="8"/>
  <c r="E188" i="8"/>
  <c r="D191" i="8"/>
  <c r="F193" i="8"/>
  <c r="E187" i="8"/>
  <c r="D190" i="8"/>
  <c r="F192" i="8"/>
  <c r="C190" i="8"/>
  <c r="D189" i="8"/>
  <c r="F191" i="8"/>
  <c r="C187" i="8"/>
  <c r="E189" i="8"/>
  <c r="D192" i="8"/>
  <c r="C188" i="8"/>
  <c r="D187" i="8"/>
  <c r="F189" i="8"/>
  <c r="E192" i="8"/>
  <c r="C189" i="8"/>
  <c r="F188" i="8"/>
  <c r="E191" i="8"/>
  <c r="F187" i="8"/>
  <c r="E190" i="8"/>
  <c r="D193" i="8"/>
  <c r="C191" i="8"/>
  <c r="G164" i="8"/>
  <c r="G172" i="8" s="1"/>
  <c r="D199" i="8"/>
  <c r="E200" i="8"/>
  <c r="F201" i="8"/>
  <c r="D203" i="8"/>
  <c r="E204" i="8"/>
  <c r="C201" i="8"/>
  <c r="C198" i="8"/>
  <c r="F198" i="8"/>
  <c r="D200" i="8"/>
  <c r="E201" i="8"/>
  <c r="F202" i="8"/>
  <c r="D204" i="8"/>
  <c r="C200" i="8"/>
  <c r="C204" i="8"/>
  <c r="E198" i="8"/>
  <c r="F199" i="8"/>
  <c r="D201" i="8"/>
  <c r="E202" i="8"/>
  <c r="F203" i="8"/>
  <c r="C199" i="8"/>
  <c r="C203" i="8"/>
  <c r="D198" i="8"/>
  <c r="E199" i="8"/>
  <c r="F200" i="8"/>
  <c r="D202" i="8"/>
  <c r="E203" i="8"/>
  <c r="F204" i="8"/>
  <c r="C202" i="8"/>
  <c r="D210" i="8"/>
  <c r="E211" i="8"/>
  <c r="F212" i="8"/>
  <c r="D214" i="8"/>
  <c r="E215" i="8"/>
  <c r="C212" i="8"/>
  <c r="C209" i="8"/>
  <c r="F209" i="8"/>
  <c r="D211" i="8"/>
  <c r="E212" i="8"/>
  <c r="F213" i="8"/>
  <c r="D215" i="8"/>
  <c r="C211" i="8"/>
  <c r="C215" i="8"/>
  <c r="E209" i="8"/>
  <c r="F210" i="8"/>
  <c r="D212" i="8"/>
  <c r="E213" i="8"/>
  <c r="F214" i="8"/>
  <c r="C210" i="8"/>
  <c r="C214" i="8"/>
  <c r="D209" i="8"/>
  <c r="E210" i="8"/>
  <c r="F211" i="8"/>
  <c r="D213" i="8"/>
  <c r="E214" i="8"/>
  <c r="F215" i="8"/>
  <c r="C213" i="8"/>
  <c r="O32" i="8"/>
  <c r="G32" i="8"/>
  <c r="G29" i="8"/>
  <c r="K67" i="8"/>
  <c r="K58" i="8"/>
  <c r="T59" i="8"/>
  <c r="C58" i="8"/>
  <c r="C60" i="8"/>
  <c r="G30" i="8"/>
  <c r="W30" i="8"/>
  <c r="O49" i="8"/>
  <c r="O30" i="8"/>
  <c r="L59" i="8"/>
  <c r="O31" i="8"/>
  <c r="W31" i="8"/>
  <c r="F61" i="8"/>
  <c r="M60" i="8"/>
  <c r="W33" i="8"/>
  <c r="M90" i="2"/>
  <c r="D60" i="8"/>
  <c r="O33" i="8"/>
  <c r="O34" i="8"/>
  <c r="U68" i="8"/>
  <c r="K18" i="8"/>
  <c r="L60" i="8"/>
  <c r="W52" i="8"/>
  <c r="L67" i="8"/>
  <c r="L70" i="8"/>
  <c r="N69" i="8"/>
  <c r="L71" i="8"/>
  <c r="U71" i="8"/>
  <c r="V71" i="8"/>
  <c r="M72" i="8"/>
  <c r="M71" i="8"/>
  <c r="N72" i="8"/>
  <c r="N71" i="8"/>
  <c r="S71" i="8"/>
  <c r="T71" i="8"/>
  <c r="K72" i="8"/>
  <c r="K71" i="8"/>
  <c r="L72" i="8"/>
  <c r="S69" i="8"/>
  <c r="T67" i="8"/>
  <c r="S68" i="8"/>
  <c r="S70" i="8"/>
  <c r="D68" i="8"/>
  <c r="E68" i="8"/>
  <c r="C68" i="8"/>
  <c r="U67" i="8"/>
  <c r="M67" i="8"/>
  <c r="T68" i="8"/>
  <c r="M70" i="8"/>
  <c r="K68" i="8"/>
  <c r="L68" i="8"/>
  <c r="N70" i="8"/>
  <c r="V69" i="8"/>
  <c r="U69" i="8"/>
  <c r="V68" i="8"/>
  <c r="F69" i="8"/>
  <c r="F70" i="8"/>
  <c r="E70" i="8"/>
  <c r="C70" i="8"/>
  <c r="D69" i="8"/>
  <c r="F67" i="8"/>
  <c r="D70" i="8"/>
  <c r="N67" i="8"/>
  <c r="K69" i="8"/>
  <c r="T69" i="8"/>
  <c r="L69" i="8"/>
  <c r="C69" i="8"/>
  <c r="S62" i="8"/>
  <c r="M63" i="8"/>
  <c r="M62" i="8"/>
  <c r="N63" i="8"/>
  <c r="N62" i="8"/>
  <c r="U62" i="8"/>
  <c r="T62" i="8"/>
  <c r="K63" i="8"/>
  <c r="K62" i="8"/>
  <c r="L63" i="8"/>
  <c r="L62" i="8"/>
  <c r="V62" i="8"/>
  <c r="U59" i="8"/>
  <c r="U58" i="8"/>
  <c r="V61" i="8"/>
  <c r="N61" i="8"/>
  <c r="V60" i="8"/>
  <c r="U60" i="8"/>
  <c r="K61" i="8"/>
  <c r="E61" i="8"/>
  <c r="C61" i="8"/>
  <c r="D61" i="8"/>
  <c r="C59" i="8"/>
  <c r="N60" i="8"/>
  <c r="T58" i="8"/>
  <c r="N58" i="8"/>
  <c r="S59" i="8"/>
  <c r="K60" i="8"/>
  <c r="T60" i="8"/>
  <c r="S61" i="8"/>
  <c r="T61" i="8"/>
  <c r="D59" i="8"/>
  <c r="E58" i="8"/>
  <c r="E59" i="8"/>
  <c r="S58" i="8"/>
  <c r="D58" i="8"/>
  <c r="E60" i="8"/>
  <c r="V67" i="8"/>
  <c r="E67" i="8"/>
  <c r="U61" i="8"/>
  <c r="L58" i="8"/>
  <c r="V59" i="8"/>
  <c r="L61" i="8"/>
  <c r="T70" i="8"/>
  <c r="M59" i="8"/>
  <c r="F59" i="8"/>
  <c r="V58" i="8"/>
  <c r="M69" i="8"/>
  <c r="M68" i="8"/>
  <c r="F68" i="8"/>
  <c r="U70" i="8"/>
  <c r="C67" i="8"/>
  <c r="M58" i="8"/>
  <c r="M61" i="8"/>
  <c r="K59" i="8"/>
  <c r="S67" i="8"/>
  <c r="F60" i="8"/>
  <c r="E69" i="8"/>
  <c r="S60" i="8"/>
  <c r="V70" i="8"/>
  <c r="N68" i="8"/>
  <c r="F58" i="8"/>
  <c r="D67" i="8"/>
  <c r="J49" i="8"/>
  <c r="R49" i="8"/>
  <c r="J29" i="8"/>
  <c r="O29" i="8"/>
  <c r="W32" i="8"/>
  <c r="O52" i="8"/>
  <c r="G51" i="8"/>
  <c r="R29" i="8"/>
  <c r="W50" i="8"/>
  <c r="W49" i="8"/>
  <c r="W29" i="8"/>
  <c r="O50" i="8"/>
  <c r="B29" i="8"/>
  <c r="B49" i="8"/>
  <c r="G31" i="8"/>
  <c r="F9" i="5"/>
  <c r="D9" i="5" s="1"/>
  <c r="K8" i="2"/>
  <c r="E72" i="5" s="1"/>
  <c r="F57" i="5" s="1"/>
  <c r="C72" i="5"/>
  <c r="F55" i="5" s="1"/>
  <c r="E140" i="5"/>
  <c r="F140" i="5"/>
  <c r="C140" i="5"/>
  <c r="D140" i="5"/>
  <c r="D142" i="5"/>
  <c r="C142" i="5"/>
  <c r="E142" i="5"/>
  <c r="F83" i="5"/>
  <c r="F77" i="5"/>
  <c r="F99" i="5"/>
  <c r="F89" i="5"/>
  <c r="K9" i="2"/>
  <c r="E103" i="5" s="1"/>
  <c r="C103" i="5"/>
  <c r="G56" i="5"/>
  <c r="E56" i="5"/>
  <c r="D56" i="5"/>
  <c r="C56" i="5"/>
  <c r="E143" i="5"/>
  <c r="D143" i="5"/>
  <c r="F143" i="5"/>
  <c r="C143" i="5"/>
  <c r="D141" i="5"/>
  <c r="E141" i="5"/>
  <c r="C141" i="5"/>
  <c r="F171" i="5"/>
  <c r="E171" i="5"/>
  <c r="C171" i="5"/>
  <c r="D171" i="5"/>
  <c r="C146" i="5"/>
  <c r="F146" i="5"/>
  <c r="F172" i="5"/>
  <c r="C172" i="5"/>
  <c r="D172" i="5"/>
  <c r="E172" i="5"/>
  <c r="F166" i="5"/>
  <c r="E166" i="5"/>
  <c r="C166" i="5"/>
  <c r="D166" i="5"/>
  <c r="E148" i="5"/>
  <c r="D148" i="5"/>
  <c r="C148" i="5"/>
  <c r="F170" i="5"/>
  <c r="C170" i="5"/>
  <c r="D170" i="5"/>
  <c r="E170" i="5"/>
  <c r="F21" i="5"/>
  <c r="K116" i="2"/>
  <c r="H176" i="5" s="1"/>
  <c r="H168" i="5"/>
  <c r="K115" i="2"/>
  <c r="H175" i="5" s="1"/>
  <c r="H167" i="5"/>
  <c r="F121" i="5"/>
  <c r="F115" i="5"/>
  <c r="F127" i="5"/>
  <c r="F149" i="5"/>
  <c r="E149" i="5"/>
  <c r="C149" i="5"/>
  <c r="D149" i="5"/>
  <c r="D147" i="5"/>
  <c r="E147" i="5"/>
  <c r="C147" i="5"/>
  <c r="F114" i="5"/>
  <c r="F126" i="5"/>
  <c r="F120" i="5"/>
  <c r="E34" i="5"/>
  <c r="F40" i="5"/>
  <c r="E40" i="5" s="1"/>
  <c r="F16" i="5"/>
  <c r="G16" i="5" s="1"/>
  <c r="D34" i="5"/>
  <c r="F22" i="5"/>
  <c r="F10" i="5"/>
  <c r="D10" i="5" s="1"/>
  <c r="F28" i="5"/>
  <c r="G28" i="5" s="1"/>
  <c r="C34" i="5"/>
  <c r="F15" i="5"/>
  <c r="E15" i="5" s="1"/>
  <c r="F108" i="5"/>
  <c r="C108" i="5" s="1"/>
  <c r="F109" i="5"/>
  <c r="L133" i="2"/>
  <c r="M133" i="2" s="1"/>
  <c r="C39" i="5"/>
  <c r="G39" i="5"/>
  <c r="L23" i="2"/>
  <c r="M23" i="2" s="1"/>
  <c r="M30" i="2"/>
  <c r="E17" i="1"/>
  <c r="G153" i="2"/>
  <c r="L24" i="2"/>
  <c r="M24" i="2" s="1"/>
  <c r="K25" i="2"/>
  <c r="L25" i="2"/>
  <c r="E153" i="2"/>
  <c r="L33" i="2"/>
  <c r="H159" i="5" s="1"/>
  <c r="L72" i="2"/>
  <c r="L73" i="2"/>
  <c r="M73" i="2" s="1"/>
  <c r="F153" i="2"/>
  <c r="L35" i="2"/>
  <c r="H161" i="5" s="1"/>
  <c r="L82" i="2"/>
  <c r="L74" i="2"/>
  <c r="M74" i="2" s="1"/>
  <c r="K33" i="2"/>
  <c r="H153" i="5" s="1"/>
  <c r="L116" i="2"/>
  <c r="K75" i="2"/>
  <c r="M75" i="2" s="1"/>
  <c r="K7" i="2"/>
  <c r="L79" i="2"/>
  <c r="M79" i="2" s="1"/>
  <c r="L114" i="2"/>
  <c r="H178" i="5" s="1"/>
  <c r="L34" i="2"/>
  <c r="H160" i="5" s="1"/>
  <c r="L115" i="2"/>
  <c r="L70" i="2"/>
  <c r="M70" i="2" s="1"/>
  <c r="K82" i="2"/>
  <c r="K114" i="2"/>
  <c r="H174" i="5" s="1"/>
  <c r="M86" i="2"/>
  <c r="K72" i="2"/>
  <c r="M72" i="2" s="1"/>
  <c r="K35" i="2"/>
  <c r="H155" i="5" s="1"/>
  <c r="L71" i="2"/>
  <c r="M71" i="2" s="1"/>
  <c r="L117" i="2"/>
  <c r="K34" i="2"/>
  <c r="H154" i="5" s="1"/>
  <c r="L80" i="2"/>
  <c r="M80" i="2" s="1"/>
  <c r="L32" i="2"/>
  <c r="M85" i="2"/>
  <c r="L9" i="2"/>
  <c r="I76" i="2"/>
  <c r="K76" i="2" s="1"/>
  <c r="L8" i="2"/>
  <c r="M121" i="2"/>
  <c r="M33" i="2"/>
  <c r="J76" i="2"/>
  <c r="L10" i="2"/>
  <c r="F131" i="5" s="1"/>
  <c r="K32" i="2"/>
  <c r="L7" i="2"/>
  <c r="K117" i="2"/>
  <c r="K10" i="2"/>
  <c r="E131" i="5" s="1"/>
  <c r="B28" i="1"/>
  <c r="D17" i="1"/>
  <c r="K27" i="10" l="1"/>
  <c r="K37" i="10" s="1"/>
  <c r="L26" i="10"/>
  <c r="L27" i="10" s="1"/>
  <c r="L37" i="10" s="1"/>
  <c r="I153" i="2"/>
  <c r="J158" i="2"/>
  <c r="J153" i="2"/>
  <c r="J160" i="2" s="1"/>
  <c r="E39" i="5"/>
  <c r="G216" i="8"/>
  <c r="M82" i="2"/>
  <c r="F33" i="5"/>
  <c r="G33" i="5" s="1"/>
  <c r="D146" i="5"/>
  <c r="F27" i="5"/>
  <c r="E27" i="5" s="1"/>
  <c r="B209" i="8"/>
  <c r="B198" i="8"/>
  <c r="B187" i="8"/>
  <c r="G227" i="8"/>
  <c r="H158" i="5"/>
  <c r="L151" i="2"/>
  <c r="G213" i="8"/>
  <c r="G210" i="8"/>
  <c r="G215" i="8"/>
  <c r="G202" i="8"/>
  <c r="G199" i="8"/>
  <c r="G191" i="8"/>
  <c r="G193" i="8"/>
  <c r="F45" i="5"/>
  <c r="F36" i="5" s="1"/>
  <c r="H152" i="5"/>
  <c r="F152" i="5" s="1"/>
  <c r="K151" i="2"/>
  <c r="K158" i="2" s="1"/>
  <c r="E45" i="5"/>
  <c r="F23" i="5" s="1"/>
  <c r="G204" i="8"/>
  <c r="G187" i="8"/>
  <c r="G209" i="8"/>
  <c r="G198" i="8"/>
  <c r="D221" i="8"/>
  <c r="E222" i="8"/>
  <c r="F223" i="8"/>
  <c r="D225" i="8"/>
  <c r="E226" i="8"/>
  <c r="C223" i="8"/>
  <c r="C220" i="8"/>
  <c r="F220" i="8"/>
  <c r="D222" i="8"/>
  <c r="E223" i="8"/>
  <c r="F224" i="8"/>
  <c r="D226" i="8"/>
  <c r="C222" i="8"/>
  <c r="C226" i="8"/>
  <c r="E220" i="8"/>
  <c r="F221" i="8"/>
  <c r="D223" i="8"/>
  <c r="E224" i="8"/>
  <c r="F225" i="8"/>
  <c r="C221" i="8"/>
  <c r="C225" i="8"/>
  <c r="D220" i="8"/>
  <c r="E221" i="8"/>
  <c r="F222" i="8"/>
  <c r="D224" i="8"/>
  <c r="E225" i="8"/>
  <c r="F226" i="8"/>
  <c r="C224" i="8"/>
  <c r="G212" i="8"/>
  <c r="G201" i="8"/>
  <c r="G192" i="8"/>
  <c r="G214" i="8"/>
  <c r="G211" i="8"/>
  <c r="G203" i="8"/>
  <c r="G200" i="8"/>
  <c r="G189" i="8"/>
  <c r="G188" i="8"/>
  <c r="G190" i="8"/>
  <c r="O69" i="8"/>
  <c r="W59" i="8"/>
  <c r="W67" i="8"/>
  <c r="O59" i="8"/>
  <c r="O71" i="8"/>
  <c r="G61" i="8"/>
  <c r="B67" i="8"/>
  <c r="W60" i="8"/>
  <c r="G60" i="8"/>
  <c r="W70" i="8"/>
  <c r="W58" i="8"/>
  <c r="O61" i="8"/>
  <c r="G58" i="8"/>
  <c r="O60" i="8"/>
  <c r="G69" i="8"/>
  <c r="G70" i="8"/>
  <c r="O70" i="8"/>
  <c r="O63" i="8"/>
  <c r="O58" i="8"/>
  <c r="R58" i="8"/>
  <c r="B58" i="8"/>
  <c r="J58" i="8"/>
  <c r="O67" i="8"/>
  <c r="R67" i="8"/>
  <c r="J67" i="8"/>
  <c r="G67" i="8"/>
  <c r="G68" i="8"/>
  <c r="W61" i="8"/>
  <c r="G59" i="8"/>
  <c r="O62" i="8"/>
  <c r="W62" i="8"/>
  <c r="O72" i="8"/>
  <c r="W71" i="8"/>
  <c r="O68" i="8"/>
  <c r="W68" i="8"/>
  <c r="W69" i="8"/>
  <c r="O47" i="8"/>
  <c r="O27" i="8"/>
  <c r="D28" i="5"/>
  <c r="C9" i="5"/>
  <c r="E16" i="5"/>
  <c r="D15" i="5"/>
  <c r="D16" i="5"/>
  <c r="E9" i="5"/>
  <c r="C15" i="5"/>
  <c r="C28" i="5"/>
  <c r="C16" i="5"/>
  <c r="G9" i="5"/>
  <c r="G15" i="5"/>
  <c r="E28" i="5"/>
  <c r="G146" i="5"/>
  <c r="G141" i="5"/>
  <c r="G142" i="5"/>
  <c r="G140" i="5"/>
  <c r="G40" i="5"/>
  <c r="G149" i="5"/>
  <c r="D27" i="5"/>
  <c r="C10" i="5"/>
  <c r="D40" i="5"/>
  <c r="E10" i="5"/>
  <c r="C152" i="5"/>
  <c r="E152" i="5"/>
  <c r="E154" i="5"/>
  <c r="C154" i="5"/>
  <c r="D154" i="5"/>
  <c r="F174" i="5"/>
  <c r="E174" i="5"/>
  <c r="C174" i="5"/>
  <c r="D174" i="5"/>
  <c r="E160" i="5"/>
  <c r="D160" i="5"/>
  <c r="C160" i="5"/>
  <c r="F29" i="5"/>
  <c r="M116" i="2"/>
  <c r="H180" i="5"/>
  <c r="E108" i="5"/>
  <c r="D108" i="5"/>
  <c r="G120" i="5"/>
  <c r="D120" i="5"/>
  <c r="E120" i="5"/>
  <c r="C120" i="5"/>
  <c r="G114" i="5"/>
  <c r="D114" i="5"/>
  <c r="E114" i="5"/>
  <c r="C114" i="5"/>
  <c r="G127" i="5"/>
  <c r="D127" i="5"/>
  <c r="E127" i="5"/>
  <c r="C127" i="5"/>
  <c r="E121" i="5"/>
  <c r="C121" i="5"/>
  <c r="G121" i="5"/>
  <c r="D121" i="5"/>
  <c r="F175" i="5"/>
  <c r="C175" i="5"/>
  <c r="D175" i="5"/>
  <c r="E175" i="5"/>
  <c r="F176" i="5"/>
  <c r="E176" i="5"/>
  <c r="C176" i="5"/>
  <c r="D176" i="5"/>
  <c r="C33" i="5"/>
  <c r="F84" i="5"/>
  <c r="F78" i="5"/>
  <c r="F100" i="5"/>
  <c r="F90" i="5"/>
  <c r="D99" i="5"/>
  <c r="E99" i="5"/>
  <c r="G99" i="5"/>
  <c r="C99" i="5"/>
  <c r="G83" i="5"/>
  <c r="E83" i="5"/>
  <c r="D83" i="5"/>
  <c r="C83" i="5"/>
  <c r="G55" i="5"/>
  <c r="C55" i="5"/>
  <c r="D55" i="5"/>
  <c r="E55" i="5"/>
  <c r="F128" i="5"/>
  <c r="F116" i="5"/>
  <c r="F122" i="5"/>
  <c r="F110" i="5"/>
  <c r="F117" i="5"/>
  <c r="F129" i="5"/>
  <c r="F111" i="5"/>
  <c r="F123" i="5"/>
  <c r="M8" i="2"/>
  <c r="F72" i="5"/>
  <c r="F58" i="5" s="1"/>
  <c r="M9" i="2"/>
  <c r="F103" i="5"/>
  <c r="F158" i="5"/>
  <c r="D158" i="5"/>
  <c r="C158" i="5"/>
  <c r="E158" i="5"/>
  <c r="F155" i="5"/>
  <c r="E155" i="5"/>
  <c r="D155" i="5"/>
  <c r="C155" i="5"/>
  <c r="M115" i="2"/>
  <c r="H179" i="5"/>
  <c r="F178" i="5"/>
  <c r="C178" i="5"/>
  <c r="D178" i="5"/>
  <c r="E178" i="5"/>
  <c r="D153" i="5"/>
  <c r="C153" i="5"/>
  <c r="E153" i="5"/>
  <c r="E161" i="5"/>
  <c r="F161" i="5"/>
  <c r="D161" i="5"/>
  <c r="C161" i="5"/>
  <c r="D159" i="5"/>
  <c r="E159" i="5"/>
  <c r="C159" i="5"/>
  <c r="E109" i="5"/>
  <c r="G109" i="5"/>
  <c r="C109" i="5"/>
  <c r="D109" i="5"/>
  <c r="D22" i="5"/>
  <c r="C22" i="5"/>
  <c r="G22" i="5"/>
  <c r="E22" i="5"/>
  <c r="G126" i="5"/>
  <c r="D126" i="5"/>
  <c r="E126" i="5"/>
  <c r="C126" i="5"/>
  <c r="E115" i="5"/>
  <c r="G115" i="5"/>
  <c r="D115" i="5"/>
  <c r="C115" i="5"/>
  <c r="F167" i="5"/>
  <c r="E167" i="5"/>
  <c r="C167" i="5"/>
  <c r="D167" i="5"/>
  <c r="F168" i="5"/>
  <c r="C168" i="5"/>
  <c r="E168" i="5"/>
  <c r="D168" i="5"/>
  <c r="E21" i="5"/>
  <c r="D21" i="5"/>
  <c r="C21" i="5"/>
  <c r="F76" i="5"/>
  <c r="F82" i="5"/>
  <c r="F98" i="5"/>
  <c r="F88" i="5"/>
  <c r="G89" i="5"/>
  <c r="C89" i="5"/>
  <c r="E89" i="5"/>
  <c r="D89" i="5"/>
  <c r="G77" i="5"/>
  <c r="C77" i="5"/>
  <c r="E77" i="5"/>
  <c r="D77" i="5"/>
  <c r="G57" i="5"/>
  <c r="E57" i="5"/>
  <c r="D57" i="5"/>
  <c r="C57" i="5"/>
  <c r="C40" i="5"/>
  <c r="G10" i="5"/>
  <c r="G108" i="5"/>
  <c r="G147" i="5"/>
  <c r="G148" i="5"/>
  <c r="G143" i="5"/>
  <c r="M25" i="2"/>
  <c r="M35" i="2"/>
  <c r="M34" i="2"/>
  <c r="M117" i="2"/>
  <c r="M36" i="2"/>
  <c r="M32" i="2"/>
  <c r="M114" i="2"/>
  <c r="L76" i="2"/>
  <c r="M76" i="2" s="1"/>
  <c r="M7" i="2"/>
  <c r="M153" i="2" s="1"/>
  <c r="M10" i="2"/>
  <c r="I22" i="10" l="1"/>
  <c r="I23" i="10" s="1"/>
  <c r="K153" i="2"/>
  <c r="K160" i="2" s="1"/>
  <c r="L153" i="2"/>
  <c r="L160" i="2" s="1"/>
  <c r="I163" i="2"/>
  <c r="I165" i="2" s="1"/>
  <c r="H22" i="10"/>
  <c r="H23" i="10" s="1"/>
  <c r="I160" i="2"/>
  <c r="J163" i="2"/>
  <c r="J165" i="2" s="1"/>
  <c r="E33" i="5"/>
  <c r="F35" i="5"/>
  <c r="G35" i="5" s="1"/>
  <c r="G27" i="5"/>
  <c r="D33" i="5"/>
  <c r="F17" i="5"/>
  <c r="G17" i="5" s="1"/>
  <c r="C27" i="5"/>
  <c r="I33" i="10"/>
  <c r="I34" i="10" s="1"/>
  <c r="I154" i="2"/>
  <c r="M151" i="2"/>
  <c r="L158" i="2"/>
  <c r="J22" i="10"/>
  <c r="J23" i="10" s="1"/>
  <c r="K163" i="2"/>
  <c r="K165" i="2" s="1"/>
  <c r="F24" i="5"/>
  <c r="C24" i="5" s="1"/>
  <c r="B220" i="8"/>
  <c r="F12" i="5"/>
  <c r="C12" i="5" s="1"/>
  <c r="F42" i="5"/>
  <c r="G42" i="5" s="1"/>
  <c r="F18" i="5"/>
  <c r="D18" i="5" s="1"/>
  <c r="F30" i="5"/>
  <c r="C30" i="5" s="1"/>
  <c r="F11" i="5"/>
  <c r="C11" i="5" s="1"/>
  <c r="F41" i="5"/>
  <c r="C41" i="5" s="1"/>
  <c r="D152" i="5"/>
  <c r="G152" i="5" s="1"/>
  <c r="G224" i="8"/>
  <c r="G221" i="8"/>
  <c r="G226" i="8"/>
  <c r="G220" i="8"/>
  <c r="G225" i="8"/>
  <c r="G222" i="8"/>
  <c r="G223" i="8"/>
  <c r="O56" i="8"/>
  <c r="O65" i="8"/>
  <c r="D46" i="5"/>
  <c r="G159" i="5"/>
  <c r="G153" i="5"/>
  <c r="G155" i="5"/>
  <c r="G158" i="5"/>
  <c r="G160" i="5"/>
  <c r="G154" i="5"/>
  <c r="G98" i="5"/>
  <c r="C98" i="5"/>
  <c r="E98" i="5"/>
  <c r="D98" i="5"/>
  <c r="G76" i="5"/>
  <c r="C76" i="5"/>
  <c r="D76" i="5"/>
  <c r="E76" i="5"/>
  <c r="F179" i="5"/>
  <c r="E179" i="5"/>
  <c r="C179" i="5"/>
  <c r="D179" i="5"/>
  <c r="F85" i="5"/>
  <c r="F79" i="5"/>
  <c r="F101" i="5"/>
  <c r="F91" i="5"/>
  <c r="G58" i="5"/>
  <c r="C58" i="5"/>
  <c r="E58" i="5"/>
  <c r="D58" i="5"/>
  <c r="E123" i="5"/>
  <c r="C123" i="5"/>
  <c r="D123" i="5"/>
  <c r="G123" i="5"/>
  <c r="G129" i="5"/>
  <c r="E129" i="5"/>
  <c r="D129" i="5"/>
  <c r="C129" i="5"/>
  <c r="G30" i="5"/>
  <c r="G36" i="5"/>
  <c r="C36" i="5"/>
  <c r="E36" i="5"/>
  <c r="D36" i="5"/>
  <c r="G110" i="5"/>
  <c r="D110" i="5"/>
  <c r="E110" i="5"/>
  <c r="C110" i="5"/>
  <c r="D116" i="5"/>
  <c r="C116" i="5"/>
  <c r="G116" i="5"/>
  <c r="E116" i="5"/>
  <c r="G90" i="5"/>
  <c r="C90" i="5"/>
  <c r="D90" i="5"/>
  <c r="E90" i="5"/>
  <c r="D78" i="5"/>
  <c r="E78" i="5"/>
  <c r="G78" i="5"/>
  <c r="C78" i="5"/>
  <c r="F180" i="5"/>
  <c r="C180" i="5"/>
  <c r="D180" i="5"/>
  <c r="E180" i="5"/>
  <c r="E23" i="5"/>
  <c r="G23" i="5"/>
  <c r="D23" i="5"/>
  <c r="C23" i="5"/>
  <c r="D88" i="5"/>
  <c r="E88" i="5"/>
  <c r="G88" i="5"/>
  <c r="C88" i="5"/>
  <c r="G82" i="5"/>
  <c r="E82" i="5"/>
  <c r="D82" i="5"/>
  <c r="C82" i="5"/>
  <c r="G111" i="5"/>
  <c r="D111" i="5"/>
  <c r="E111" i="5"/>
  <c r="C111" i="5"/>
  <c r="G117" i="5"/>
  <c r="C117" i="5"/>
  <c r="E117" i="5"/>
  <c r="D117" i="5"/>
  <c r="D12" i="5"/>
  <c r="C42" i="5"/>
  <c r="E122" i="5"/>
  <c r="C122" i="5"/>
  <c r="D122" i="5"/>
  <c r="G122" i="5"/>
  <c r="D128" i="5"/>
  <c r="C128" i="5"/>
  <c r="E128" i="5"/>
  <c r="G128" i="5"/>
  <c r="E100" i="5"/>
  <c r="D100" i="5"/>
  <c r="G100" i="5"/>
  <c r="C100" i="5"/>
  <c r="G84" i="5"/>
  <c r="E84" i="5"/>
  <c r="D84" i="5"/>
  <c r="C84" i="5"/>
  <c r="D29" i="5"/>
  <c r="G29" i="5"/>
  <c r="E29" i="5"/>
  <c r="C29" i="5"/>
  <c r="D17" i="5"/>
  <c r="E17" i="5"/>
  <c r="C17" i="5"/>
  <c r="C35" i="5"/>
  <c r="G161" i="5"/>
  <c r="J154" i="2"/>
  <c r="E35" i="5" l="1"/>
  <c r="D35" i="5"/>
  <c r="G24" i="5"/>
  <c r="E24" i="5"/>
  <c r="D24" i="5"/>
  <c r="E42" i="5"/>
  <c r="E41" i="5"/>
  <c r="H33" i="10"/>
  <c r="H34" i="10" s="1"/>
  <c r="J33" i="10"/>
  <c r="J34" i="10" s="1"/>
  <c r="G11" i="5"/>
  <c r="E18" i="5"/>
  <c r="K22" i="10"/>
  <c r="L22" i="10" s="1"/>
  <c r="L23" i="10" s="1"/>
  <c r="L33" i="10" s="1"/>
  <c r="L163" i="2"/>
  <c r="L165" i="2" s="1"/>
  <c r="G12" i="5"/>
  <c r="E12" i="5"/>
  <c r="D11" i="5"/>
  <c r="G18" i="5"/>
  <c r="D42" i="5"/>
  <c r="D41" i="5"/>
  <c r="D30" i="5"/>
  <c r="E11" i="5"/>
  <c r="C18" i="5"/>
  <c r="G41" i="5"/>
  <c r="E30" i="5"/>
  <c r="E91" i="5"/>
  <c r="D91" i="5"/>
  <c r="G91" i="5"/>
  <c r="C91" i="5"/>
  <c r="E79" i="5"/>
  <c r="D79" i="5"/>
  <c r="G79" i="5"/>
  <c r="C79" i="5"/>
  <c r="G101" i="5"/>
  <c r="C101" i="5"/>
  <c r="D101" i="5"/>
  <c r="E101" i="5"/>
  <c r="G85" i="5"/>
  <c r="E85" i="5"/>
  <c r="D85" i="5"/>
  <c r="C85" i="5"/>
  <c r="L154" i="2"/>
  <c r="K154" i="2"/>
  <c r="G21" i="5"/>
  <c r="C46" i="5" s="1"/>
  <c r="K23" i="10" l="1"/>
  <c r="E46" i="5"/>
  <c r="F46" i="5"/>
  <c r="B73" i="5"/>
  <c r="G66" i="5"/>
  <c r="G60" i="5"/>
  <c r="K33" i="10" l="1"/>
  <c r="K34" i="10" s="1"/>
  <c r="F63" i="5"/>
  <c r="G63" i="5" s="1"/>
  <c r="F61" i="5"/>
  <c r="G61" i="5" s="1"/>
  <c r="F64" i="5"/>
  <c r="G64" i="5" s="1"/>
  <c r="F62" i="5"/>
  <c r="G62" i="5" s="1"/>
  <c r="F68" i="5"/>
  <c r="G68" i="5" s="1"/>
  <c r="F70" i="5"/>
  <c r="G70" i="5" s="1"/>
  <c r="F67" i="5"/>
  <c r="G67" i="5" s="1"/>
  <c r="F69" i="5"/>
  <c r="G69" i="5" s="1"/>
  <c r="G72" i="5"/>
  <c r="F52" i="5"/>
  <c r="G52" i="5" s="1"/>
  <c r="F50" i="5"/>
  <c r="G50" i="5" s="1"/>
  <c r="F51" i="5"/>
  <c r="G51" i="5" s="1"/>
  <c r="F49" i="5"/>
  <c r="G49" i="5" s="1"/>
  <c r="E51" i="5" l="1"/>
  <c r="C51" i="5"/>
  <c r="D51" i="5"/>
  <c r="D52" i="5"/>
  <c r="E52" i="5"/>
  <c r="C52" i="5"/>
  <c r="E69" i="5"/>
  <c r="C69" i="5"/>
  <c r="D69" i="5"/>
  <c r="D70" i="5"/>
  <c r="E70" i="5"/>
  <c r="C70" i="5"/>
  <c r="D62" i="5"/>
  <c r="E62" i="5"/>
  <c r="C62" i="5"/>
  <c r="E61" i="5"/>
  <c r="C61" i="5"/>
  <c r="D61" i="5"/>
  <c r="E49" i="5"/>
  <c r="C49" i="5"/>
  <c r="D49" i="5"/>
  <c r="D50" i="5"/>
  <c r="E50" i="5"/>
  <c r="C50" i="5"/>
  <c r="E67" i="5"/>
  <c r="C67" i="5"/>
  <c r="D67" i="5"/>
  <c r="D68" i="5"/>
  <c r="E68" i="5"/>
  <c r="C68" i="5"/>
  <c r="D64" i="5"/>
  <c r="E64" i="5"/>
  <c r="C64" i="5"/>
  <c r="E63" i="5"/>
  <c r="C63" i="5"/>
  <c r="D63" i="5"/>
</calcChain>
</file>

<file path=xl/sharedStrings.xml><?xml version="1.0" encoding="utf-8"?>
<sst xmlns="http://schemas.openxmlformats.org/spreadsheetml/2006/main" count="2240" uniqueCount="1221">
  <si>
    <t>RECEITA</t>
  </si>
  <si>
    <t>IPTU</t>
  </si>
  <si>
    <t>IRRF</t>
  </si>
  <si>
    <t>ITBI</t>
  </si>
  <si>
    <t>ISS</t>
  </si>
  <si>
    <t>FPM</t>
  </si>
  <si>
    <t>COTA-EXTRA DO FPM (EC No 55/2007)</t>
  </si>
  <si>
    <t>ITR</t>
  </si>
  <si>
    <t>LC. 87/96</t>
  </si>
  <si>
    <t>ICMS</t>
  </si>
  <si>
    <t>IPVA</t>
  </si>
  <si>
    <t>IPI Exp.</t>
  </si>
  <si>
    <t>MJ IRRF</t>
  </si>
  <si>
    <t>MJ IPTU</t>
  </si>
  <si>
    <t>MJ ITBI</t>
  </si>
  <si>
    <t>MJ ISS</t>
  </si>
  <si>
    <t>MJ D. IPTU</t>
  </si>
  <si>
    <t>MJ D. ITBI</t>
  </si>
  <si>
    <t>MJ D. ISS</t>
  </si>
  <si>
    <t>Div. IPTU</t>
  </si>
  <si>
    <t>Div. ITBI</t>
  </si>
  <si>
    <t>Div. ISS</t>
  </si>
  <si>
    <t>TOTAL =</t>
  </si>
  <si>
    <t>RENDIM.:</t>
  </si>
  <si>
    <t>MDE</t>
  </si>
  <si>
    <t>FUNDEB</t>
  </si>
  <si>
    <t>ASPS</t>
  </si>
  <si>
    <t>TAXAS</t>
  </si>
  <si>
    <t>CONTRIBUIÇÃO DE MELHORIA</t>
  </si>
  <si>
    <t>CONTRIBUICÕES SOCIAIS</t>
  </si>
  <si>
    <t>CONTRIBUIÇÃO PARA O CUSTEIO DO SERVIÇO DE ILUMINAÇÃO PÚBLICA</t>
  </si>
  <si>
    <t>RECEITAS IMOBILIÁRIAS</t>
  </si>
  <si>
    <t>RECEITAS DE VALORES MOBILIÁRIOS</t>
  </si>
  <si>
    <t>RECEITA DE CONCESSÕES E PERMISSÕES</t>
  </si>
  <si>
    <t>RECEITA DA CESSÃO DE DIREITOS</t>
  </si>
  <si>
    <t>TRANSFERÊNCIAS INTERGOVERNAMENTAIS</t>
  </si>
  <si>
    <t>TRANSFERENCIAS DE PESSOAS</t>
  </si>
  <si>
    <t>TRANSFERÊNCIAS DE CONVÊNIOS</t>
  </si>
  <si>
    <t>MULTAS E JUROS DE MORA</t>
  </si>
  <si>
    <t>INDENIZACÕES E RESTITUICÕES</t>
  </si>
  <si>
    <t>RECEITA DA DÍVIDA ATIVA</t>
  </si>
  <si>
    <t>ALIENAÇÃO DE BENS MÓVEIS</t>
  </si>
  <si>
    <t>ALIENAÇÃO DE BENS IMÓVEIS</t>
  </si>
  <si>
    <t>AMORTIZAÇÃO DE EMPRÉSTIMOS</t>
  </si>
  <si>
    <t>RECEITA DA D.A. PROV. DE AMORTIZAÇÃO DE EMPRÉSTIMOS E FIN.</t>
  </si>
  <si>
    <t>OUTRAS RECEITAS</t>
  </si>
  <si>
    <t>RECEITAS (INTRA-ORÇAMENTÁRIAS)(II)</t>
  </si>
  <si>
    <t>RECEITAS</t>
  </si>
  <si>
    <t>ISQN</t>
  </si>
  <si>
    <t>1% FPM</t>
  </si>
  <si>
    <t>L.C. No 87/96</t>
  </si>
  <si>
    <t>633.413,96</t>
  </si>
  <si>
    <t>5.718.973,37</t>
  </si>
  <si>
    <t>16.059,00</t>
  </si>
  <si>
    <t>3.485.499,80</t>
  </si>
  <si>
    <t>Receita Agropecuária</t>
  </si>
  <si>
    <t>Receita de Serviços</t>
  </si>
  <si>
    <t>24.818.624,48</t>
  </si>
  <si>
    <t>26.707.111,92</t>
  </si>
  <si>
    <t>20.372,16</t>
  </si>
  <si>
    <t>Transferências dos Estados e do DF e de suas Entidades</t>
  </si>
  <si>
    <t>Transferências dos Municípios e de suas Entidades</t>
  </si>
  <si>
    <t>Transferências de Outras Instituições Públicas</t>
  </si>
  <si>
    <t>166.588,36</t>
  </si>
  <si>
    <t>259.668,93</t>
  </si>
  <si>
    <t>10.220,98</t>
  </si>
  <si>
    <t>RECEITAS DIVERSAS -Demais Receitas Correntes</t>
  </si>
  <si>
    <t>1.791.304,23</t>
  </si>
  <si>
    <t>160.000,00</t>
  </si>
  <si>
    <t>Transferências dos Estados e DF e de suas Entidades</t>
  </si>
  <si>
    <t>Realizado:</t>
  </si>
  <si>
    <t>4. Realizado:</t>
  </si>
  <si>
    <t>Rend. MDE</t>
  </si>
  <si>
    <t>Rend. FUNDEB</t>
  </si>
  <si>
    <t>Rend. ASPS</t>
  </si>
  <si>
    <t>1. NÍVEIS:</t>
  </si>
  <si>
    <t>1.1.1.3.03.1</t>
  </si>
  <si>
    <t>1.1.1.8.01.1</t>
  </si>
  <si>
    <t>1.1.1.8.01.4</t>
  </si>
  <si>
    <t>1.1.1.8.02.3</t>
  </si>
  <si>
    <t>1.7.1.8.01.2</t>
  </si>
  <si>
    <t>1.7.1.8.01.3</t>
  </si>
  <si>
    <t>1.7.1.8.01.4</t>
  </si>
  <si>
    <t>1.7.1.8.01.5.1</t>
  </si>
  <si>
    <t>1.7.1.8.06.1.1</t>
  </si>
  <si>
    <t>1.7.2.8.01.1.1</t>
  </si>
  <si>
    <t>1.7.2.8.01.2.1</t>
  </si>
  <si>
    <t>1.7.2.8.01.3.1</t>
  </si>
  <si>
    <t>1.7.5.8.01.1.1</t>
  </si>
  <si>
    <t>Estimativa</t>
  </si>
  <si>
    <t>Total</t>
  </si>
  <si>
    <t>PPA:</t>
  </si>
  <si>
    <t>ALIMENTAÇÃO ESCOLAR - PROG.NACIONAL DE ALIMENTAÇÃO ESCOLAR</t>
  </si>
  <si>
    <t>PNAE - Alimentação Escolar - EJA</t>
  </si>
  <si>
    <t>PNAE - Alimentação Escolar - Creche</t>
  </si>
  <si>
    <t>PNAE - Alimentação Escolar - Pré-escola</t>
  </si>
  <si>
    <t>PNAE - Alimentação Escolar -Ensino Fundamental</t>
  </si>
  <si>
    <t>PNAE - Alimentação Escolar - AEE</t>
  </si>
  <si>
    <t>MAIS EDUCAÇÃO - Fundamental</t>
  </si>
  <si>
    <t>BRASIL CARINHOSO TD - BRASIL CARINHOSO - TRANSFERENCIA DIRETA</t>
  </si>
  <si>
    <t>Brasil Carinhoso - Apoio a creches</t>
  </si>
  <si>
    <t>PNATE - PROGRAMA NACIONAL DE APOIO AO TRANSP DO ESCOLAR</t>
  </si>
  <si>
    <t>PNATE - Ensino Médio</t>
  </si>
  <si>
    <t>PNATE - Ensino Fundamental</t>
  </si>
  <si>
    <t>PNATE - Educação Infantil</t>
  </si>
  <si>
    <t>MP 815/2017 - TRANSFERÊNCIA DE RECURSOS FINANCEIROS, A TÍTULO DE APOIO, AOS ENTES FEDERATIVOS QUE RECEBEM FPM</t>
  </si>
  <si>
    <t>% do IPCA</t>
  </si>
  <si>
    <t>5 do PIB Brasil</t>
  </si>
  <si>
    <t>Fonte: FOCUS - Relatório de Mercado e Nota Técnica DEA 08/16</t>
  </si>
  <si>
    <t>TOTAIS:</t>
  </si>
  <si>
    <t>ATENÇÃO BÁSICA</t>
  </si>
  <si>
    <t>GESTÃO DO SUS</t>
  </si>
  <si>
    <t>INVESTIMENTO</t>
  </si>
  <si>
    <t>APOIO FINANCEIRO EXTRAORDINÁRIO</t>
  </si>
  <si>
    <t>CORONAVÍRUS (COVID-19)</t>
  </si>
  <si>
    <t>PROGRAMA DE INFORMATIZAÇÃO DA APS</t>
  </si>
  <si>
    <t>INCENTIVO FINANCEIRO DA APS - DESEMPENHO</t>
  </si>
  <si>
    <t>INCENTIVO PARA AÇÕES ESTRATÉGICAS</t>
  </si>
  <si>
    <t>AGENTE COMUNITÁRIO DE SAÚDE</t>
  </si>
  <si>
    <t xml:space="preserve">INCENTIVO FINANCEIRO DA APS - CAPITAÇÃO PONDERADA </t>
  </si>
  <si>
    <t>CORONAVIRUS (COVID-19) - SAPS</t>
  </si>
  <si>
    <t>SAMU 192</t>
  </si>
  <si>
    <t>ATENÇÃO À SAÚDE DA POPULAÇÃO PARA PROCEDIMENTOS NO MAC</t>
  </si>
  <si>
    <t>FEP - FUNDO ESPECIAL DO PETROLEO</t>
  </si>
  <si>
    <t>CFM - DEPARTAMENTO NACIONAL DE PRODUCAO MINERAL</t>
  </si>
  <si>
    <t>CID - CIDE-CONTRIB. INTERVENCAO DOMINIO ECONOMICO</t>
  </si>
  <si>
    <t>FEX - AUXILIO FINANCEIRO PARA FOMENTO EXPORTACOES</t>
  </si>
  <si>
    <t>PBM - PGTO BONUS ASS MUNICIPAL</t>
  </si>
  <si>
    <t>AFM - APOIO FINANCEIRO AOS MUNICIPIOS ( PFEC Inc I e II)</t>
  </si>
  <si>
    <t>ADO - LC 176/2020 (ADO25)</t>
  </si>
  <si>
    <t>Rend. FASM</t>
  </si>
  <si>
    <t>Rend. FAPS/RPPS</t>
  </si>
  <si>
    <t>CIP - Contr. Ilumin Púb.</t>
  </si>
  <si>
    <t>Indenizações</t>
  </si>
  <si>
    <t>Ressarcimentos</t>
  </si>
  <si>
    <t>Receitas Diversas e Eventuais</t>
  </si>
  <si>
    <t>Orçado Atual:</t>
  </si>
  <si>
    <t>Bloco da Proteção Social Especial de Média Complexidade</t>
  </si>
  <si>
    <t>COMPONENTE - PISO FIXO DE MEDIA COMPLEXIDADE - PAEFI</t>
  </si>
  <si>
    <t>COMPONENTE - PISO DE TRANSICAO DE MEDIA COMPLEXIDADE</t>
  </si>
  <si>
    <t>Bloco da Proteção Social Especial de Alta Complexidade</t>
  </si>
  <si>
    <t>Bloco da Proteção Social Básica</t>
  </si>
  <si>
    <t>COMPONENTE - PISO DE ALTA COMPLEXIDADE I</t>
  </si>
  <si>
    <t>COMPONENTE - PISO DE ALTA COMPLEXIDADE I - CRIANCA\ADOLESCENTE</t>
  </si>
  <si>
    <t>COMPONENTE - SERVICO DE CONVIVENCIA E FORTALECIMENTO DE VINCULOS</t>
  </si>
  <si>
    <t>COMPONENTE - PISO BASICO VARIAVEL III - EQUIPE VOLANTE</t>
  </si>
  <si>
    <t>COMPONENTE - PISO BASICO FIXO</t>
  </si>
  <si>
    <t>Bloco da Gestão - COMPONENTE - INDICE DE GESTAO DESCENTRALIZADA DO SUAS</t>
  </si>
  <si>
    <t>Bloco da Gestão do Programa Bolsa Família e do Cadastro Único - INDICE DE GESTAO DESCENTRALIZADA - IGDBF</t>
  </si>
  <si>
    <t>COMPONENTE - EXPANSAO DO PISO FIXO DE MEDIA COMPLEXIDADE - MSE</t>
  </si>
  <si>
    <t>SIGTV ESTRUTURACAO CUSTEIO</t>
  </si>
  <si>
    <t>Acoes do COVID no SUAS para EPI - Portaria 369</t>
  </si>
  <si>
    <t>Acoes do COVID no SUAS - para Alimentos - Portaria 369</t>
  </si>
  <si>
    <t>Acoes do COVID no SUAS - para Acolhimento - Portaria 369</t>
  </si>
  <si>
    <t>Incremento Temporario ao Bloco da Protecao Social Especial para Acoes de Combate ao COVID-19</t>
  </si>
  <si>
    <t>Incremento Temporario ao Bloco da Protecao Social Basica para Acoes de Combate ao COVID-19</t>
  </si>
  <si>
    <t>Rem. do PEATE/RS</t>
  </si>
  <si>
    <t>Rend Salário Educ.</t>
  </si>
  <si>
    <t>Salário-Educação: Repasse 1023</t>
  </si>
  <si>
    <t>SAL. EDUCAÇÃO: 1026</t>
  </si>
  <si>
    <t>VIGILANCIA EPIDEMIOLOGICA</t>
  </si>
  <si>
    <t>PIM-INCENTIVO E QUALIFI</t>
  </si>
  <si>
    <t>ATENCAO MEDIA ALTA COMPLE</t>
  </si>
  <si>
    <t>TRANSP SANIT ELETIVO EP</t>
  </si>
  <si>
    <t>LIVRE</t>
  </si>
  <si>
    <t>Total:</t>
  </si>
  <si>
    <t>1.1.1.3.03.1.1.01</t>
  </si>
  <si>
    <t>1.1.1.3.03.1.1.02</t>
  </si>
  <si>
    <t>1.1.1.3.03.1.1.03</t>
  </si>
  <si>
    <t>1.1.1.3.03.1.1.05</t>
  </si>
  <si>
    <t>1.1.1.3.03.4.1.01</t>
  </si>
  <si>
    <t>1.1.1.3.03.4.1.02</t>
  </si>
  <si>
    <t>1.1.1.8.01.1.2</t>
  </si>
  <si>
    <t>1.1.1.8.01.1.3</t>
  </si>
  <si>
    <t>1.1.1.8.01.1.4</t>
  </si>
  <si>
    <t>1.1.1.8.02.3.1</t>
  </si>
  <si>
    <t>1.1.1.8.02.3.2</t>
  </si>
  <si>
    <t>1.1.1.8.02.3.3</t>
  </si>
  <si>
    <t>1.1.1.8.02.3.4</t>
  </si>
  <si>
    <t>1.1.1.8.01.4.1</t>
  </si>
  <si>
    <t>1.1.1.8.01.4.2</t>
  </si>
  <si>
    <t>1.1.1.8.01.4.3</t>
  </si>
  <si>
    <t>1.1.1.8.01.4.4</t>
  </si>
  <si>
    <t>1.7.1.8.01.2.1</t>
  </si>
  <si>
    <t>1.7.1.8.01.3.1</t>
  </si>
  <si>
    <t>1.7.1.8.01.4.1</t>
  </si>
  <si>
    <t>Prefeitura Municipal de Cacapava do Sul - RS</t>
  </si>
  <si>
    <t>Plano Plurianual</t>
  </si>
  <si>
    <t>Anexo I - Estimativa das receitas</t>
  </si>
  <si>
    <t>Fontes de Financiamento dos Programas Governamentais</t>
  </si>
  <si>
    <t>Dados Enviados ao Legislativo</t>
  </si>
  <si>
    <t>Estimativa das Receitas Orçamentárias</t>
  </si>
  <si>
    <t>Situação: Em Elaboração</t>
  </si>
  <si>
    <t>Fundamento Legal: PPA 2022-2025</t>
  </si>
  <si>
    <t>Data: 23/04/2021</t>
  </si>
  <si>
    <t>Tipo: Projeto de Lei</t>
  </si>
  <si>
    <t>Unidade Gestora: PREFEITURA MUNICIPAL DE CACAPAVA DO SUL</t>
  </si>
  <si>
    <t>Especificação</t>
  </si>
  <si>
    <t>Receitas Previstas</t>
  </si>
  <si>
    <t>Direta</t>
  </si>
  <si>
    <t>Indireta</t>
  </si>
  <si>
    <t>Receitas Correntes</t>
  </si>
  <si>
    <t>1.0.0.0.00.0.0.00.00.00</t>
  </si>
  <si>
    <t>1.1.0.0.00.0.0.00.00.00</t>
  </si>
  <si>
    <t>Impostos, Taxas e Contribuições de Melhoria</t>
  </si>
  <si>
    <t>1.1.1.0.00.0.0.00.00.00</t>
  </si>
  <si>
    <t>Impostos</t>
  </si>
  <si>
    <t>1.1.1.3.00.0.0.00.00.00</t>
  </si>
  <si>
    <t>Impostos sobre a Renda e Proventos de Qualquer Natureza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</si>
  <si>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</si>
  <si>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</si>
  <si>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</si>
  <si>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</si>
  <si>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</si>
  <si>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IRRF - Trabalho - Principal</t>
  </si>
  <si>
    <t>1.1.1.3.03.1.1.01.00.00</t>
  </si>
  <si>
    <t>IRRF - Ativos/Inativos do Poder Execu./Indire.</t>
  </si>
  <si>
    <t>1.1.1.3.03.1.1.01.01.00</t>
  </si>
  <si>
    <t>IRRF  - PRÓPRIO</t>
  </si>
  <si>
    <t>1.1.1.3.03.1.1.01.02.00</t>
  </si>
  <si>
    <t>IRRF -  MDE</t>
  </si>
  <si>
    <t>1.1.1.3.03.1.1.01.03.00</t>
  </si>
  <si>
    <t>IRRF - Principal - ASPS</t>
  </si>
  <si>
    <t>1.1.1.3.03.1.1.02.00.00</t>
  </si>
  <si>
    <t>IRRF - Ativos/Inativos do Poder Legislativo</t>
  </si>
  <si>
    <t>1.1.1.3.03.1.1.02.01.00</t>
  </si>
  <si>
    <t>1.1.1.3.03.1.1.02.02.00</t>
  </si>
  <si>
    <t>1.1.1.3.03.1.1.02.03.00</t>
  </si>
  <si>
    <t>1.1.1.3.03.1.1.03.00.00</t>
  </si>
  <si>
    <t>IRRF - Inativos pagos pelo RPPS - Principal</t>
  </si>
  <si>
    <t>1.1.1.3.03.1.1.03.01.00</t>
  </si>
  <si>
    <t>1.1.1.3.03.1.1.03.02.00</t>
  </si>
  <si>
    <t>1.1.1.3.03.1.1.03.03.00</t>
  </si>
  <si>
    <t>1.1.1.3.03.1.1.05.00.00</t>
  </si>
  <si>
    <t>IRRF - Pensionistas pagos pelo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</si>
  <si>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</si>
  <si>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</si>
  <si>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</si>
  <si>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</si>
  <si>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</si>
  <si>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</si>
  <si>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IRRF - Outros Rendimentos - Principal</t>
  </si>
  <si>
    <t>1.1.1.3.03.4.1.01.00.00</t>
  </si>
  <si>
    <t>IRRF - Outros Rendimentos - Poder Executivo</t>
  </si>
  <si>
    <t>1.1.1.3.03.4.1.01.01.00</t>
  </si>
  <si>
    <t>IRRF -  Principal - PRÓPRIO</t>
  </si>
  <si>
    <t>1.1.1.3.03.4.1.01.02.00</t>
  </si>
  <si>
    <t>IRRF - Principal - MDE</t>
  </si>
  <si>
    <t>1.1.1.3.03.4.1.01.03.00</t>
  </si>
  <si>
    <t>1.1.1.3.03.4.1.02.00.00</t>
  </si>
  <si>
    <t>IRRF - Outros Rendimentos - Poder Legislativo</t>
  </si>
  <si>
    <t>1.1.1.3.03.4.1.02.01.00</t>
  </si>
  <si>
    <t>IRRF - Principal - PRÓPRIO</t>
  </si>
  <si>
    <t>1.1.1.3.03.4.1.02.02.00</t>
  </si>
  <si>
    <t>1.1.1.3.03.4.1.02.03.00</t>
  </si>
  <si>
    <t>1.1.1.8.00.0.0.00.00.00</t>
  </si>
  <si>
    <t>Impostos Específicos de Estados, DF e Municípios</t>
  </si>
  <si>
    <t>1.1.1.8.01.0.0.00.00.00</t>
  </si>
  <si>
    <t>Impostos sobre o Patrimônio para Estados, DF e Municípios</t>
  </si>
  <si>
    <t>1.1.1.8.01.1.0.00.00.00</t>
  </si>
  <si>
    <t>Imposto sobre a Propriedade Predial e Territorial Urbana</t>
  </si>
  <si>
    <t>1.1.1.8.01.1.1.00.00.00</t>
  </si>
  <si>
    <t>IPTU - Principal</t>
  </si>
  <si>
    <t>1.1.1.8.01.1.1.01.00.00</t>
  </si>
  <si>
    <t>IPTU - PRÓPRIO</t>
  </si>
  <si>
    <t>1.1.1.8.01.1.1.02.00.00</t>
  </si>
  <si>
    <t>IPTU - MDE</t>
  </si>
  <si>
    <t>1.1.1.8.01.1.1.03.00.00</t>
  </si>
  <si>
    <t>IPTU - ASPS</t>
  </si>
  <si>
    <t>1.1.1.8.01.1.2.00.00.00</t>
  </si>
  <si>
    <t>IPTU - Multas e Juros de Mora</t>
  </si>
  <si>
    <t>1.1.1.8.01.1.2.01.00.00</t>
  </si>
  <si>
    <t>1.1.1.8.01.1.2.02.00.00</t>
  </si>
  <si>
    <t>1.1.1.8.01.1.2.03.00.00</t>
  </si>
  <si>
    <t>1.1.1.8.01.1.3.00.00.00</t>
  </si>
  <si>
    <t>IPTU - Dívida Ativa</t>
  </si>
  <si>
    <t>1.1.1.8.01.1.3.01.00.00</t>
  </si>
  <si>
    <t>1.1.1.8.01.1.3.02.00.00</t>
  </si>
  <si>
    <t>1.1.1.8.01.1.3.03.00.00</t>
  </si>
  <si>
    <t>1.1.1.8.01.1.4.00.00.00</t>
  </si>
  <si>
    <t>IPTU - Multas e Juros de Mora da Dívida Ativa</t>
  </si>
  <si>
    <t>1.1.1.8.01.1.4.01.00.00</t>
  </si>
  <si>
    <t>1.1.1.8.01.1.4.02.00.00</t>
  </si>
  <si>
    <t>1.1.1.8.01.1.4.03.00.00</t>
  </si>
  <si>
    <t>1.1.1.8.01.4.0.00.00.00</t>
  </si>
  <si>
    <t>Imp s/ Transm “Inter Vivos” Bens Imóveis e Dir Reais s/ Imóv</t>
  </si>
  <si>
    <t>1.1.1.8.01.4.1.00.00.00</t>
  </si>
  <si>
    <t>ITBI - Principal</t>
  </si>
  <si>
    <t>1.1.1.8.01.4.1.01.00.00</t>
  </si>
  <si>
    <t>ITBI - PRÓPRIO</t>
  </si>
  <si>
    <t>1.1.1.8.01.4.1.02.00.00</t>
  </si>
  <si>
    <t>ITBI - MDE</t>
  </si>
  <si>
    <t>1.1.1.8.01.4.1.03.00.00</t>
  </si>
  <si>
    <t>ITBI - ASPS</t>
  </si>
  <si>
    <t>1.1.1.8.01.4.2.00.00.00</t>
  </si>
  <si>
    <t>ITBI - Multas e Juros de Mora</t>
  </si>
  <si>
    <t>1.1.1.8.01.4.2.01.00.00</t>
  </si>
  <si>
    <t>1.1.1.8.01.4.2.02.00.00</t>
  </si>
  <si>
    <t>1.1.1.8.01.4.2.03.00.00</t>
  </si>
  <si>
    <t>1.1.1.8.01.4.3.00.00.00</t>
  </si>
  <si>
    <t>ITBI - Dívida Ativa</t>
  </si>
  <si>
    <t>1.1.1.8.01.4.3.01.00.00</t>
  </si>
  <si>
    <t>1.1.1.8.01.4.3.02.00.00</t>
  </si>
  <si>
    <t>1.1.1.8.01.4.3.03.00.00</t>
  </si>
  <si>
    <t>1.1.1.8.01.4.4.00.00.00</t>
  </si>
  <si>
    <t>ITBI - Multas e Juros de Mora da Dívida Ativa</t>
  </si>
  <si>
    <t>1.1.1.8.01.4.4.01.00.00</t>
  </si>
  <si>
    <t>1.1.1.8.01.4.4.02.00.00</t>
  </si>
  <si>
    <t>1.1.1.8.01.4.4.03.00.00</t>
  </si>
  <si>
    <t>1.1.1.8.02.0.0.00.00.00</t>
  </si>
  <si>
    <t>Impostos sobre a Produção, Circulação de Mercadorias e Serv</t>
  </si>
  <si>
    <t>1.1.1.8.02.3.0.00.00.00</t>
  </si>
  <si>
    <t>Imposto sobre Serviços de Qualquer Natureza</t>
  </si>
  <si>
    <t>1.1.1.8.02.3.1.00.00.00</t>
  </si>
  <si>
    <t>ISSQN - Principal</t>
  </si>
  <si>
    <t>1.1.1.8.02.3.1.01.00.00</t>
  </si>
  <si>
    <t>ISS - PRÓPRIO</t>
  </si>
  <si>
    <t>1.1.1.8.02.3.1.02.00.00</t>
  </si>
  <si>
    <t>ISS - MDE</t>
  </si>
  <si>
    <t>1.1.1.8.02.3.1.03.00.00</t>
  </si>
  <si>
    <t>ISS - ASPS</t>
  </si>
  <si>
    <t>1.1.1.8.02.3.2.00.00.00</t>
  </si>
  <si>
    <t>ISSQN - Multas e Juros de Mora</t>
  </si>
  <si>
    <t>1.1.1.8.02.3.2.01.00.00</t>
  </si>
  <si>
    <t>1.1.1.8.02.3.2.02.00.00</t>
  </si>
  <si>
    <t>1.1.1.8.02.3.2.03.00.00</t>
  </si>
  <si>
    <t>1.1.1.8.02.3.3.00.00.00</t>
  </si>
  <si>
    <t>ISSQN - Dívida Ativa</t>
  </si>
  <si>
    <t>1.1.1.8.02.3.3.01.00.00</t>
  </si>
  <si>
    <t>1.1.1.8.02.3.3.02.00.00</t>
  </si>
  <si>
    <t>1.1.1.8.02.3.3.03.00.00</t>
  </si>
  <si>
    <t>1.1.1.8.02.3.4.00.00.00</t>
  </si>
  <si>
    <t>ISSQN - Multas e Juros de Mora da Dívida Ativa</t>
  </si>
  <si>
    <t>1.1.1.8.02.3.4.01.00.00</t>
  </si>
  <si>
    <t>1.1.1.8.02.3.4.02.00.00</t>
  </si>
  <si>
    <t>1.1.1.8.02.3.4.03.00.00</t>
  </si>
  <si>
    <t>1.7.0.0.00.0.0.00.00.00</t>
  </si>
  <si>
    <t>Transferências Correntes</t>
  </si>
  <si>
    <t>1.7.1.0.00.0.0.00.00.00</t>
  </si>
  <si>
    <t>Transferências da União e de suas Entidades</t>
  </si>
  <si>
    <t>1.7.1.8.00.0.0.00.00.00</t>
  </si>
  <si>
    <t>Transferências da União - Específicas Estado, DF e Município</t>
  </si>
  <si>
    <t>1.7.1.8.01.0.0.00.00.00</t>
  </si>
  <si>
    <t>Participação na Receita da União</t>
  </si>
  <si>
    <t>1.7.1.8.01.2.0.00.00.00</t>
  </si>
  <si>
    <t>Cota-Parte Fundo Participação dos Municípios - Cota Mensal</t>
  </si>
  <si>
    <t>1.7.1.8.01.2.1.00.00.00</t>
  </si>
  <si>
    <t>Cota-Parte do FPM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</si>
  <si>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</si>
  <si>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</si>
  <si>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</si>
  <si>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</si>
  <si>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</si>
  <si>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</si>
  <si>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</si>
  <si>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Cota-Parte do FPM - Cota Mensal - Principal - FUNDEB</t>
  </si>
  <si>
    <t>1.7.1.8.01.3.0.00.00.00</t>
  </si>
  <si>
    <t>Cota-Parte do FPM - 1% Cota entregue no mês de dezembro</t>
  </si>
  <si>
    <t>1.7.1.8.01.3.1.00.00.00</t>
  </si>
  <si>
    <t>Cota-Parte do FPM - 1% Cota entregue em dezembro - Principal</t>
  </si>
  <si>
    <t>1.7.1.8.01.3.1.01.00.00</t>
  </si>
  <si>
    <t>Cota-Parte do FPM - 1% Cota dezembro - Principal - PRÓPRIO</t>
  </si>
  <si>
    <t>1.7.1.8.01.3.1.02.00.00</t>
  </si>
  <si>
    <t>Cota-Parte do FPM - 1% Cota dezembro - Principal -  MDE</t>
  </si>
  <si>
    <t>1.7.1.8.01.3.1.03.00.00</t>
  </si>
  <si>
    <t>Cota-Parte do FPM - 1% Cota dezembro - Principal - ASPS</t>
  </si>
  <si>
    <t>1.7.1.8.01.4.0.00.00.00</t>
  </si>
  <si>
    <t>Cota-Parte do FPM - 1% Cota entregue no mês de julho</t>
  </si>
  <si>
    <t>1.7.1.8.01.4.1.00.00.00</t>
  </si>
  <si>
    <t>Cota-Parte do FPM - 1% Cota entregue em julho - Principal</t>
  </si>
  <si>
    <t>1.7.1.8.01.4.1.01.00.00</t>
  </si>
  <si>
    <t>Cota-Parte do FPM - 1% Cota julho - Principal - PRÓPRIO</t>
  </si>
  <si>
    <t>1.7.1.8.01.4.1.02.00.00</t>
  </si>
  <si>
    <t>Cota-Parte do FPM - 1% Cota julho - Principal -  MDE</t>
  </si>
  <si>
    <t>1.7.1.8.01.4.1.03.00.00</t>
  </si>
  <si>
    <t>Cota-Parte do FPM - 1% Cota julho - Principal - ASPS</t>
  </si>
  <si>
    <t>1.7.1.8.01.5.0.00.00.00</t>
  </si>
  <si>
    <t>Cota-Parte do Imposto Sobre a Propriedade Territorial Rural</t>
  </si>
  <si>
    <t>1.7.1.8.01.5.1.00.00.00</t>
  </si>
  <si>
    <t>Cota-Parte do ITR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</si>
  <si>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</si>
  <si>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</si>
  <si>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</si>
  <si>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</si>
  <si>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</si>
  <si>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</si>
  <si>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</si>
  <si>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Cota-Parte do ITR - Principal - FUNDEB</t>
  </si>
  <si>
    <t>1.7.2.0.00.0.0.00.00.00</t>
  </si>
  <si>
    <t>Transf dos Estados e do Distrito Federal e de suas Entidades</t>
  </si>
  <si>
    <t>1.7.2.8.00.0.0.00.00.00</t>
  </si>
  <si>
    <t>Transf dos Estados - Específicas de Estados, DF e Municípios</t>
  </si>
  <si>
    <t>1.7.2.8.01.0.0.00.00.00</t>
  </si>
  <si>
    <t>Participação na Receita dos Estados</t>
  </si>
  <si>
    <t>1.7.2.8.01.1.0.00.00.00</t>
  </si>
  <si>
    <t>Cota-Parte do ICMS</t>
  </si>
  <si>
    <t>1.7.2.8.01.1.1.00.00.00</t>
  </si>
  <si>
    <t>Cota-Parte do ICMS - Principal</t>
  </si>
  <si>
    <t>1.7.2.8.01.1.1.01.00.00</t>
  </si>
  <si>
    <t>Cota-Parte do ICMS - Principal - PRÓPRIO</t>
  </si>
  <si>
    <t>1.7.2.8.01.1.1.02.00.00</t>
  </si>
  <si>
    <t>Cota-Parte do ICMS - Principal - MDE</t>
  </si>
  <si>
    <t>1.7.2.8.01.1.1.03.00.00</t>
  </si>
  <si>
    <t>Cota-Parte do ICMS - Principal- ASPS</t>
  </si>
  <si>
    <t>1.7.2.8.01.1.1.04.00.00</t>
  </si>
  <si>
    <t>Cota-Parte do ICMS - Principal - FUNDEB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</si>
  <si>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</si>
  <si>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</si>
  <si>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</si>
  <si>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</si>
  <si>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</si>
  <si>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</si>
  <si>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</si>
  <si>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</si>
  <si>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</si>
  <si>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</si>
  <si>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</si>
  <si>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Cota-Parte do IPI - Municípios - Principal - FUNDEB</t>
  </si>
  <si>
    <t>Total de Receitas</t>
  </si>
  <si>
    <t>Deduções da receita</t>
  </si>
  <si>
    <t>Total das Deduções</t>
  </si>
  <si>
    <t>Total Líquido das Receitas</t>
  </si>
  <si>
    <t>Total Geral</t>
  </si>
  <si>
    <t>1.1.1.8.01.1.1</t>
  </si>
  <si>
    <t>1.7.2.8.01.2.0.00.00.00</t>
  </si>
  <si>
    <t>Cota-Parte do IPVA</t>
  </si>
  <si>
    <t>1.7.2.8.01.2.1.00.00.00</t>
  </si>
  <si>
    <t>Cota-Parte do IPVA - Principal</t>
  </si>
  <si>
    <t>1.7.2.8.01.2.1.01.00.00</t>
  </si>
  <si>
    <t>Cota-Parte do IPVA - Principal - PRÓPRIO</t>
  </si>
  <si>
    <t>1.7.2.8.01.2.1.02.00.00</t>
  </si>
  <si>
    <t>Cota-Parte do IPVA - Principal - MDE</t>
  </si>
  <si>
    <t>1.7.2.8.01.2.1.03.00.00</t>
  </si>
  <si>
    <t>Cota-Parte do IPVA - Principal - ASPS</t>
  </si>
  <si>
    <t>1.7.2.8.01.2.1.04.00.00</t>
  </si>
  <si>
    <t>Cota-Parte do IPVA - Principal - FUNDEB</t>
  </si>
  <si>
    <t>1.3.2.5.02.99.01 (74)</t>
  </si>
  <si>
    <t>Remun. Bca. Rec. Diversos</t>
  </si>
  <si>
    <t>Taxas de Inspeção, Controle e Fiscalização - Outras - [TIPO]</t>
  </si>
  <si>
    <t>Principal</t>
  </si>
  <si>
    <t>Multa e Juros</t>
  </si>
  <si>
    <t>Divida Ativa</t>
  </si>
  <si>
    <t>1.1.2.8.01.1.X.00</t>
  </si>
  <si>
    <t>1.1.2.8.01.9.X.00</t>
  </si>
  <si>
    <t>1.1.2.8.02.9.X.00</t>
  </si>
  <si>
    <t>ANO:</t>
  </si>
  <si>
    <t>1.1.2.8.01.1.1.01</t>
  </si>
  <si>
    <t>1.1.2.8.01.1.2.01</t>
  </si>
  <si>
    <t>1.1.2.8.01.1.3.01</t>
  </si>
  <si>
    <t>1.1.2.8.01.1.4.01</t>
  </si>
  <si>
    <t>1.1.2.8.01.9.1.01</t>
  </si>
  <si>
    <t>1.1.2.8.01.9.2.01</t>
  </si>
  <si>
    <t>1.1.2.8.01.9.3.01</t>
  </si>
  <si>
    <t>1.1.2.8.01.9.4.01</t>
  </si>
  <si>
    <t>Taxas - Vistoria e Fisc</t>
  </si>
  <si>
    <t>1.1.2.8.02.9.1.01</t>
  </si>
  <si>
    <t>1.1.2.8.02.9.2.01</t>
  </si>
  <si>
    <t>1.1.2.8.02.9.3.01</t>
  </si>
  <si>
    <t>1.1.2.8.02.9.4.01</t>
  </si>
  <si>
    <t>Prestacao de Servicos</t>
  </si>
  <si>
    <t>Taxa de Cemiterio</t>
  </si>
  <si>
    <t>Servicos c/ Maquinas</t>
  </si>
  <si>
    <t>Servicos Cadastrais</t>
  </si>
  <si>
    <t xml:space="preserve">Taxas pela Prestação de Serviços - Outras </t>
  </si>
  <si>
    <t xml:space="preserve">Taxa de Fiscalização de </t>
  </si>
  <si>
    <t xml:space="preserve">Vigilância Sanitária </t>
  </si>
  <si>
    <t>Lic. Veic - Transp. de Al.</t>
  </si>
  <si>
    <t>Lic. p/ Exec. de Obras</t>
  </si>
  <si>
    <t>1.1.2.8.01.1.2.06</t>
  </si>
  <si>
    <t>1.1.2.8.01.1.2.08</t>
  </si>
  <si>
    <t>Util. Area de Dom. Publ</t>
  </si>
  <si>
    <t>DÍVIDA ATIVA NÃO TRIBUTÁRIA</t>
  </si>
  <si>
    <t>Tít. Exec. do TCE/RS</t>
  </si>
  <si>
    <t>Pagtos Indevidos</t>
  </si>
  <si>
    <t>Remunerações Imobilárias</t>
  </si>
  <si>
    <t>TAXAS:</t>
  </si>
  <si>
    <t>DIVIDA ATIVA NÃO TRIBUTÁRIA</t>
  </si>
  <si>
    <t>Tít. Exec. TCE/RS</t>
  </si>
  <si>
    <t>Pgtos Indevid.</t>
  </si>
  <si>
    <t>Auxílios</t>
  </si>
  <si>
    <t>1.1.2.8.01.9.1.06</t>
  </si>
  <si>
    <t>1.1.2.8.01.9.1.02</t>
  </si>
  <si>
    <t>Licenca Ambiental</t>
  </si>
  <si>
    <t>Tnasf. P. Taxis</t>
  </si>
  <si>
    <t>1.1.2.8.01.9.1.05</t>
  </si>
  <si>
    <t>Fiscaliz. Bombeiros</t>
  </si>
  <si>
    <t>1.1.2.8.01.9.1.07</t>
  </si>
  <si>
    <t>Lic p/ExecObras</t>
  </si>
  <si>
    <t>1.1.2.8.01.9.1.08</t>
  </si>
  <si>
    <t>Publ Comercial</t>
  </si>
  <si>
    <t>1.1.2.8.02.9.1.02</t>
  </si>
  <si>
    <t>1.1.2.8.02.9.1.04</t>
  </si>
  <si>
    <t>1.1.2.8.02.9.1.03</t>
  </si>
  <si>
    <t>1.1.2.8.02.9.1.07</t>
  </si>
  <si>
    <t>Limpeza Publica</t>
  </si>
  <si>
    <t>Mem. Cálculo:</t>
  </si>
  <si>
    <t>2022 a 2025</t>
  </si>
  <si>
    <t>1.1.2.8.01.1.1.02</t>
  </si>
  <si>
    <t>1.9.2.8.02.9.1.01</t>
  </si>
  <si>
    <t>ALUGUEL DE COPA EM GINASIO POLIESPORTIVO</t>
  </si>
  <si>
    <t>ALUGUEL DE IMOVEIS PUBLICOS</t>
  </si>
  <si>
    <t>TAXA DE OCUPACAO DE IMOVEIS</t>
  </si>
  <si>
    <t>Prog. Troca-troca</t>
  </si>
  <si>
    <t>Restituição p/ uso Bens Públicos</t>
  </si>
  <si>
    <t>Restituição de Auxilios</t>
  </si>
  <si>
    <t>CONTRIBUICAO DE MELHORIA</t>
  </si>
  <si>
    <t>1.1.3.8.04.1.1.01</t>
  </si>
  <si>
    <t>1.9.2.8.02.9.2.01</t>
  </si>
  <si>
    <t>1.9.2.8.02.9.3.01</t>
  </si>
  <si>
    <t>1.9.2.8.02.9.4.01</t>
  </si>
  <si>
    <t>1.9.2.8.02.9.1.02</t>
  </si>
  <si>
    <t>Troca-troca</t>
  </si>
  <si>
    <t>1.9.2.8.02.9.1.03</t>
  </si>
  <si>
    <t>Restit.P/Uso B.</t>
  </si>
  <si>
    <t>1.9.2.8.02.9.1.04</t>
  </si>
  <si>
    <t>1.9.2.8.02.9.1.05</t>
  </si>
  <si>
    <t>1.9.2.8.02.9.1.07</t>
  </si>
  <si>
    <t>T. Hemodialise</t>
  </si>
  <si>
    <t>Restit. p/danos</t>
  </si>
  <si>
    <t>Período:</t>
  </si>
  <si>
    <t>1.7.2.8.01.4.1</t>
  </si>
  <si>
    <t>1.7.1.8.02.6.1</t>
  </si>
  <si>
    <t>1.3.1.0.01.1.1</t>
  </si>
  <si>
    <t>1.7.1.8.02.2.1</t>
  </si>
  <si>
    <t>1.2.4.0.00.1.1</t>
  </si>
  <si>
    <t>1.4.0.0.00.1.1.01</t>
  </si>
  <si>
    <t>Serviços Agropecuários - F.R. 1103</t>
  </si>
  <si>
    <t>1.7.1.8.03.4.1.01</t>
  </si>
  <si>
    <t>ASSISTÊNCIA FARMACÊUTICA F.R. 4503</t>
  </si>
  <si>
    <t>1.7.1.8.03.1.1.01.10.02</t>
  </si>
  <si>
    <t>ATENÇÃO BÁSICA F.R. 4500</t>
  </si>
  <si>
    <t>1.7.1.8.03.2.1.01</t>
  </si>
  <si>
    <t>ATENÇÃO ESPECIALIZADA - F.R. 4501</t>
  </si>
  <si>
    <t>1.7.1.8.03.1.1.02.02</t>
  </si>
  <si>
    <t>MÉDIA E ALTA COMPLEXIDADE AMBULATORIAL E HOSPITALAR - F.R. 4501</t>
  </si>
  <si>
    <t>1.7.1.8.03.3.1.02</t>
  </si>
  <si>
    <t>VIGILÂNCIA EM SAÚDE - F.R. 4502</t>
  </si>
  <si>
    <t>1.7.1.8.03.3.1.03</t>
  </si>
  <si>
    <t>VIGILÂNCIA SANITÁRIA - F.R. 4502</t>
  </si>
  <si>
    <t>1.7.1.8.04.1.1.01.03</t>
  </si>
  <si>
    <t>ASSISTÊNCIA FARMACÊUTICA - F.R.4505</t>
  </si>
  <si>
    <t>1.7.1.8.04.2.1</t>
  </si>
  <si>
    <t>ATENÇÃO ESPECIALIZADA - F.R. 4506</t>
  </si>
  <si>
    <t>1.7.1.8.04.1.1.01.01</t>
  </si>
  <si>
    <t>1.7.2.8.10.2.1.01</t>
  </si>
  <si>
    <t>Rec 122</t>
  </si>
  <si>
    <t>1.7.2.8.01.5.1.02</t>
  </si>
  <si>
    <t>Multas de Transito - F.R. 1182</t>
  </si>
  <si>
    <t>1.7.1.8.12.1.1.01.01</t>
  </si>
  <si>
    <t>1.7.1.8.12.1.1.01.03</t>
  </si>
  <si>
    <t>1.7.1.8.12.1.1.02.01</t>
  </si>
  <si>
    <t>1.7.1.8.12.1.1.02.02</t>
  </si>
  <si>
    <t>1.7.1.8.12.1.1.06</t>
  </si>
  <si>
    <t>1.7.1.8.12.1.1.02.03</t>
  </si>
  <si>
    <t>Programas -COMPONENTE - ACOES ESTRATEGICAS DO PROGRAMA DE ERRADICACAO DO TRABALHO INFANTIL - F.R. 1124</t>
  </si>
  <si>
    <t>1.7.1.8.12.1.1.07</t>
  </si>
  <si>
    <t>Contr. Patr. Serv Ativo</t>
  </si>
  <si>
    <t>Contr. do Serv Ativo</t>
  </si>
  <si>
    <t>Contr. do Serv Inativo</t>
  </si>
  <si>
    <t>Contr. do Pensionista</t>
  </si>
  <si>
    <t>Contr. Patr. Serv Inativo</t>
  </si>
  <si>
    <t>Contr. Patr. Do Pensionista</t>
  </si>
  <si>
    <t>Amortização de Repasses Atrasados</t>
  </si>
  <si>
    <t>Cota Patronal de Exerc. Ant.</t>
  </si>
  <si>
    <t>Passivo Atuarial de Exerc. Anter</t>
  </si>
  <si>
    <t>Reparcel. Antigo 5,74%</t>
  </si>
  <si>
    <t>J. e M. Compet. Exerc. Anteriores</t>
  </si>
  <si>
    <t>Recuperação de Despesas</t>
  </si>
  <si>
    <t>Rec. Arrecadadas Diretamente</t>
  </si>
  <si>
    <t>Reparcel. Antigo 5,89%</t>
  </si>
  <si>
    <t>Compensacoes Financeiras</t>
  </si>
  <si>
    <t>Contr. Patr. Parceladas - Pass. Atuarial</t>
  </si>
  <si>
    <t>FASM</t>
  </si>
  <si>
    <t>1360 B.Fundo Prev.Emp(Fol+F</t>
  </si>
  <si>
    <t>554 Faps</t>
  </si>
  <si>
    <t>711 CTA FAPS PATRONAL GP</t>
  </si>
  <si>
    <t>829 CTA FAPS REC PASSIV</t>
  </si>
  <si>
    <t>FAPS - RPPS</t>
  </si>
  <si>
    <t>Lei Municipal Nº 4167  de 04/08/2020 - Art. 4º - Aliquota do Passivo Atuarial.</t>
  </si>
  <si>
    <t>3125 B.Fundo Previdenc(Folh</t>
  </si>
  <si>
    <t>Pensionistas</t>
  </si>
  <si>
    <t>Ativos</t>
  </si>
  <si>
    <t>Inativos</t>
  </si>
  <si>
    <t>ATIVOS</t>
  </si>
  <si>
    <t>Pensionista</t>
  </si>
  <si>
    <t>Fonte: Demonstrativo da Folha Formadoras p/Conferencia (Analitico) Tipo de Calculo = 9-Folha Mensal Seq.=1 Data Ref. 04/2021</t>
  </si>
  <si>
    <t>Bases:</t>
  </si>
  <si>
    <t>Aliquotas:</t>
  </si>
  <si>
    <t>Data Base:</t>
  </si>
  <si>
    <t>1.2.1.8.01.1.1</t>
  </si>
  <si>
    <t>1.2.1.8.01.2.1</t>
  </si>
  <si>
    <t>1.2.1.8.01.3.1</t>
  </si>
  <si>
    <t>1.2.1.8.03.1.1</t>
  </si>
  <si>
    <t>1.3.2.1.00.4.1</t>
  </si>
  <si>
    <t>1.9.9.0.03.1.1</t>
  </si>
  <si>
    <t>1.9.2.8.03.1.1.01</t>
  </si>
  <si>
    <t>7.2.1.8.03.1.1.01</t>
  </si>
  <si>
    <t>7.2.1.8.03.2.1</t>
  </si>
  <si>
    <t>7.2.1.8.03.3.1</t>
  </si>
  <si>
    <t>7.2.1.8.04.1.1</t>
  </si>
  <si>
    <t>7.9.9.0.01.1.1</t>
  </si>
  <si>
    <t>7.9.9.0.01.1.3</t>
  </si>
  <si>
    <t>TOTAIS AO ANO:</t>
  </si>
  <si>
    <t>7.2.1.8.04.1.6</t>
  </si>
  <si>
    <t>1.2.1.9.99.1.1.03</t>
  </si>
  <si>
    <t>1.2.1.9.99.1.1.04</t>
  </si>
  <si>
    <t>1.3.2.1.00.1.1.01.10</t>
  </si>
  <si>
    <t>1.9.9.0.99.1.1.03</t>
  </si>
  <si>
    <t>7.2.1.9.99.2.1</t>
  </si>
  <si>
    <t>1.9.9.0.99.1.3.03</t>
  </si>
  <si>
    <t>MEMÓRIA DE CÁLCULO E ESTUDOS E ESTIMATIVAS PARA O PPA 2022/2025</t>
  </si>
  <si>
    <t>DETALHAMENTO DO PPA-2022/2025</t>
  </si>
  <si>
    <t>Contribuições do Servidor Ativo para Assistência a Saúde</t>
  </si>
  <si>
    <t xml:space="preserve">Contribuição dos Inativos e Pensionistas para Assistência a </t>
  </si>
  <si>
    <t>Remu. Depósi. Ban. Vin. Fundo Assis. Saúde Ser. - Principal</t>
  </si>
  <si>
    <t>Receitas Dire. Arreca. Fundo Assis. Saúde Servi.- Principal</t>
  </si>
  <si>
    <t>Recei. Dire. Fundo Assis. Saúde Servi. - Dívida Ativa</t>
  </si>
  <si>
    <t>Demais Contribuições Sociais - Parcelamentos - Principal</t>
  </si>
  <si>
    <t>Seq.</t>
  </si>
  <si>
    <t>ÓRGÃOS</t>
  </si>
  <si>
    <t>Câmara</t>
  </si>
  <si>
    <t>Gabinete</t>
  </si>
  <si>
    <t>SGM</t>
  </si>
  <si>
    <t>SMCP</t>
  </si>
  <si>
    <t>SMA</t>
  </si>
  <si>
    <t>SMF</t>
  </si>
  <si>
    <t>SMTur</t>
  </si>
  <si>
    <t>SMTSUI</t>
  </si>
  <si>
    <t>SEDUC</t>
  </si>
  <si>
    <t>SMSMA</t>
  </si>
  <si>
    <t>SMAS</t>
  </si>
  <si>
    <t>SMAIC</t>
  </si>
  <si>
    <t>Encargos</t>
  </si>
  <si>
    <t>Reserva</t>
  </si>
  <si>
    <t>FAPS</t>
  </si>
  <si>
    <t>=</t>
  </si>
  <si>
    <t>TOTAL</t>
  </si>
  <si>
    <t>Desp. Liq.</t>
  </si>
  <si>
    <t>Realizada</t>
  </si>
  <si>
    <t>Projetado</t>
  </si>
  <si>
    <t>PPA -2022 a 2025</t>
  </si>
  <si>
    <t>Tot Pref.:</t>
  </si>
  <si>
    <t>Tot FAPS</t>
  </si>
  <si>
    <t>Tot FASM</t>
  </si>
  <si>
    <t>Deduções da Receita para o FUNDFEB:</t>
  </si>
  <si>
    <t>1.7.2.8.03.1.1.01</t>
  </si>
  <si>
    <t>1.7.2.8.03.1.1.07</t>
  </si>
  <si>
    <t>ESF - INCENT E INVEST (4090</t>
  </si>
  <si>
    <t>PIES-POL INC ATENCAO BAS (4011)</t>
  </si>
  <si>
    <t>1.7.2.8.03.1.1.04</t>
  </si>
  <si>
    <t>REDE URG E EMERG - SAMU (4170)</t>
  </si>
  <si>
    <t>1.7.2.8.03.1.1.05</t>
  </si>
  <si>
    <t>ASSIST. FARMAC. BASICA (4050)</t>
  </si>
  <si>
    <t>1.7.2.8.03.1.1.14</t>
  </si>
  <si>
    <t>AT PESSOA COM DEFICIENCIA (4090)</t>
  </si>
  <si>
    <t xml:space="preserve">1.7.2.8.03.1.1.02 </t>
  </si>
  <si>
    <t>REDE ATENCAO PSICOSSOCIAL (4220)</t>
  </si>
  <si>
    <t>1.6.3.8.01.1.1</t>
  </si>
  <si>
    <t>GESTAO PLENA DO S.E.S. (4501)</t>
  </si>
  <si>
    <t>AMORTIZACAO DE EMPRESTIMOS CONCEDIDOS A EMPRESAS PRIVADAS</t>
  </si>
  <si>
    <t>2.3.0.0.06.1.1.02</t>
  </si>
  <si>
    <t>Amortiz. Empr</t>
  </si>
  <si>
    <t>1.9.9.0.12.2.1</t>
  </si>
  <si>
    <t>Onus de Sucumbencia</t>
  </si>
  <si>
    <t>1.9.9.0.99.1.1.99</t>
  </si>
  <si>
    <t>Outras Receitas Diversas</t>
  </si>
  <si>
    <t>Outras Receitas - Financeiras</t>
  </si>
  <si>
    <t>1.9.9.0.99.2.1</t>
  </si>
  <si>
    <t>Apropriação dos valores de Receitas Diversas projetadas:</t>
  </si>
  <si>
    <t>1.7.3.8.10.9.1.01</t>
  </si>
  <si>
    <t>Auxilio Financeiro para o Municipio</t>
  </si>
  <si>
    <t>Verificação da Dedução:</t>
  </si>
  <si>
    <t>Estimativa de Repasses totais do Estado para Saúde</t>
  </si>
  <si>
    <t>Receitas de capital</t>
  </si>
  <si>
    <t>2.0.0.0.00.0.0.00.00.00</t>
  </si>
  <si>
    <t>Receitas de Capital</t>
  </si>
  <si>
    <t>Unidade Gestora: CONSOLIDADO</t>
  </si>
  <si>
    <t>1.1.2.0.00.0.0.00.00.00</t>
  </si>
  <si>
    <t>Taxas</t>
  </si>
  <si>
    <t>1.1.2.8.00.0.0.00.00.00</t>
  </si>
  <si>
    <t>Taxas - Específicas de Estados, DF e Municípios</t>
  </si>
  <si>
    <t>1.1.2.8.01.0.0.00.00.00</t>
  </si>
  <si>
    <t>Taxas de Inspeção, Controle e Fiscalização</t>
  </si>
  <si>
    <t>1.1.2.8.01.1.0.00.00.00</t>
  </si>
  <si>
    <t>Taxa de Fiscalização de Vigilância Sanitária</t>
  </si>
  <si>
    <t>1.1.2.8.01.1.1.00.00.00</t>
  </si>
  <si>
    <t>Taxa de Fiscalização de Vigilância Sanitária - Principal</t>
  </si>
  <si>
    <t>1.1.2.8.01.1.1.01.00.00</t>
  </si>
  <si>
    <t>Taxa de Fiscalização Sanitária</t>
  </si>
  <si>
    <t>1.1.2.8.01.1.2.00.00.00</t>
  </si>
  <si>
    <t>Taxa de Fiscalização de Vigilância Sanitária - Multas/Juros</t>
  </si>
  <si>
    <t>1.1.2.8.01.1.2.01.00.00</t>
  </si>
  <si>
    <t>1.1.2.8.01.1.2.08.00.00</t>
  </si>
  <si>
    <t>Taxa de Utilização de Área de Domínio Público</t>
  </si>
  <si>
    <t>1.1.2.8.01.1.3.00.00.00</t>
  </si>
  <si>
    <t>Taxa de Fiscalização de Vigilância Sanitária - Dívida Ativa</t>
  </si>
  <si>
    <t>1.1.2.8.01.1.3.01.00.00</t>
  </si>
  <si>
    <t>1.1.2.8.01.1.4.00.00.00</t>
  </si>
  <si>
    <t>Taxa de Fiscalização de Vigilância Sanitária - M/J Dív Ativa</t>
  </si>
  <si>
    <t>1.1.2.8.01.1.4.01.00.00</t>
  </si>
  <si>
    <t>1.1.2.8.01.9.0.00.00.00</t>
  </si>
  <si>
    <t>Taxas de Inspeção, Controle e Fiscalização - Outras</t>
  </si>
  <si>
    <t>1.1.2.8.01.9.1.00.00.00</t>
  </si>
  <si>
    <t>Taxa Inspeção, Controle e Fiscalização - Outras - Principal</t>
  </si>
  <si>
    <t>1.1.2.8.01.9.1.01.00.00</t>
  </si>
  <si>
    <t>Taxas de Inspeção, Controle e Fiscalização - Vistoria e Fisc</t>
  </si>
  <si>
    <t>1.1.2.8.01.9.2.00.00.00</t>
  </si>
  <si>
    <t>Taxa Inspeção, Controle e Fiscalização - Outras - Multa/Juro</t>
  </si>
  <si>
    <t>1.1.2.8.01.9.2.01.00.00</t>
  </si>
  <si>
    <t>1.1.2.8.01.9.3.00.00.00</t>
  </si>
  <si>
    <t>Taxa Inspeção, Controle e Fiscalização - Outras - Dív Ativa</t>
  </si>
  <si>
    <t>1.1.2.8.01.9.3.01.00.00</t>
  </si>
  <si>
    <t>1.1.2.8.01.9.4.00.00.00</t>
  </si>
  <si>
    <t>Taxa Inspeção, Controle e Fiscalização - Outras - M/J Dív At</t>
  </si>
  <si>
    <t>1.1.2.8.01.9.4.01.00.00</t>
  </si>
  <si>
    <t>1.1.3.0.00.0.0.00.00.00</t>
  </si>
  <si>
    <t>Contribuição de Melhoria</t>
  </si>
  <si>
    <t>1.1.3.8.00.0.0.00.00.00</t>
  </si>
  <si>
    <t>Contribuição de Melhoria - Específica Estados, DF e Municípi</t>
  </si>
  <si>
    <t>1.1.3.8.04.0.0.00.00.00</t>
  </si>
  <si>
    <t>Cont Melhoria p/ Pavimentação e Obras Complementares</t>
  </si>
  <si>
    <t>1.1.3.8.04.1.0.00.00.00</t>
  </si>
  <si>
    <t>1.1.3.8.04.1.1.00.00.00</t>
  </si>
  <si>
    <t>CM p/ Pavimentação e Obras Complementares - Principal</t>
  </si>
  <si>
    <t>1.1.3.8.04.1.1.01.00.00</t>
  </si>
  <si>
    <t>Contribuição de Melhoria p/Pavimentação e Obras Complementar</t>
  </si>
  <si>
    <t>1.2.0.0.00.0.0.00.00.00</t>
  </si>
  <si>
    <t>Contribuições</t>
  </si>
  <si>
    <t>CPSSS do Servidor Civil Ativo - Principal</t>
  </si>
  <si>
    <t>CPSSS do Servidor Civil Inativo - Principal</t>
  </si>
  <si>
    <t>CPSSS do Servidor Civil - Pensionistas - Principal</t>
  </si>
  <si>
    <t>CPSSS Patronal - Servidor Civil Ativo - Principal</t>
  </si>
  <si>
    <t>1.2.4.0.00.0.0.00.00.00</t>
  </si>
  <si>
    <t>Contribuição para o Custeio do Serviço de Iluminação Pública</t>
  </si>
  <si>
    <t>1.2.4.0.00.1.0.00.00.00</t>
  </si>
  <si>
    <t>1.2.4.0.00.1.1.00.00.00</t>
  </si>
  <si>
    <t>Contrib p/ Custeio Serviço de Iluminação Pública - Principal</t>
  </si>
  <si>
    <t>1.3.0.0.00.0.0.00.00.00</t>
  </si>
  <si>
    <t>Receita Patrimonial</t>
  </si>
  <si>
    <t>1.3.1.0.00.0.0.00.00.00</t>
  </si>
  <si>
    <t>Exploração do Patrimônio Imobiliário do Estado</t>
  </si>
  <si>
    <t>1.3.1.0.01.0.0.00.00.00</t>
  </si>
  <si>
    <t>Aluguéis, Arrendamentos, Foros, Laudêmios, Tarifas Ocupação</t>
  </si>
  <si>
    <t>1.3.1.0.01.1.0.00.00.00</t>
  </si>
  <si>
    <t>Aluguéis e Arrendamentos</t>
  </si>
  <si>
    <t>1.3.1.0.01.1.1.00.00.00</t>
  </si>
  <si>
    <t>Aluguéis e Arrendamentos - Principal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</si>
  <si>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</si>
  <si>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</si>
  <si>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</si>
  <si>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</si>
  <si>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</si>
  <si>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Remuneração de Depósitos Bancários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</si>
  <si>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</si>
  <si>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</si>
  <si>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</si>
  <si>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</si>
  <si>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</si>
  <si>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Remu. Depósitos Bancá. Recursos Vincu. - FUNDEB - Principal</t>
  </si>
  <si>
    <t>1.3.2.1.00.1.1.01.04.00</t>
  </si>
  <si>
    <t>Remu. Depósitos Bancá. de Recursos Vincu. MDE - Principal</t>
  </si>
  <si>
    <t>1.3.2.1.00.1.1.01.05.00</t>
  </si>
  <si>
    <t>Remu. Depósitos  Bancá. Recursos Vincu. ASPS - Principal</t>
  </si>
  <si>
    <t>1.3.2.1.00.1.1.01.08.00</t>
  </si>
  <si>
    <t>Remu. Depósitos Bancá. de Recursos Vincu. FNDE - Principal</t>
  </si>
  <si>
    <t>1.3.2.1.00.1.1.01.08.03</t>
  </si>
  <si>
    <t>Rendimento do FNDE - Salário Educação</t>
  </si>
  <si>
    <t>1.3.2.1.00.2.0.00.00.00</t>
  </si>
  <si>
    <t>Remuneração de Depósitos Especiais</t>
  </si>
  <si>
    <t>1.3.2.1.00.2.1.00.00.00</t>
  </si>
  <si>
    <t>Remuneração de Depósitos Especiais - Principal</t>
  </si>
  <si>
    <t>1.3.2.1.00.2.1.03.00.00</t>
  </si>
  <si>
    <t>Remuneração de Depósitos de Recursos da Educação</t>
  </si>
  <si>
    <t>1.3.2.1.00.2.1.03.01.00</t>
  </si>
  <si>
    <t>Remuneração dos Recursos do PEATE/RS</t>
  </si>
  <si>
    <t>Remuneração dos Recursos do RPPS - Principal</t>
  </si>
  <si>
    <t>1.4.0.0.00.0.0.00.00.00</t>
  </si>
  <si>
    <t>1.4.0.0.00.1.0.00.00.00</t>
  </si>
  <si>
    <t>1.4.0.0.00.1.1.00.00.00</t>
  </si>
  <si>
    <t>Receita Agropecuária - Principal</t>
  </si>
  <si>
    <t>1.4.0.0.00.1.1.01.00.00</t>
  </si>
  <si>
    <t>Receita de Serviços Agropecuários</t>
  </si>
  <si>
    <t>1.6.0.0.00.0.0.00.00.00</t>
  </si>
  <si>
    <t>1.6.3.0.00.0.0.00.00.00</t>
  </si>
  <si>
    <t>Serviços e Atividades Referentes à Saúde</t>
  </si>
  <si>
    <t>1.6.3.8.00.0.0.00.00.00</t>
  </si>
  <si>
    <t>Serviços e Atividades Referentes à Saúde - Estados/DF/Munic</t>
  </si>
  <si>
    <t>1.6.3.8.01.0.0.00.00.00</t>
  </si>
  <si>
    <t>Serviços de Saúde - Específico para Estados/DF/Municípios</t>
  </si>
  <si>
    <t>1.6.3.8.01.1.0.00.00.00</t>
  </si>
  <si>
    <t>Serviços Hospitalares</t>
  </si>
  <si>
    <t>1.6.3.8.01.1.1.00.00.00</t>
  </si>
  <si>
    <t>Serviços Hospitalares - Principal</t>
  </si>
  <si>
    <t>1.7.1.8.02.0.0.00.00.00</t>
  </si>
  <si>
    <t>Transf da Compensação Financ pela Exploração de Rec Naturais</t>
  </si>
  <si>
    <t>1.7.1.8.02.2.0.00.00.00</t>
  </si>
  <si>
    <t>Cota-parte Compensação Financ Recursos Minerais - CFEM</t>
  </si>
  <si>
    <t>1.7.1.8.02.2.1.00.00.00</t>
  </si>
  <si>
    <t>Cota-parte Compensação Financ Rec Mineral - CFEM - Principal</t>
  </si>
  <si>
    <t>1.7.1.8.02.6.0.00.00.00</t>
  </si>
  <si>
    <t>Cota-Parte do Fundo Especial do Petróleo - FEP</t>
  </si>
  <si>
    <t>1.7.1.8.02.6.1.00.00.00</t>
  </si>
  <si>
    <t>Cota-Parte do Fundo Especial do Petróleo - FEP - Principal</t>
  </si>
  <si>
    <t>1.7.1.8.03.0.0.00.00.00</t>
  </si>
  <si>
    <t>Transf Recurso SUS - Bloco de Manutenção das ASPS</t>
  </si>
  <si>
    <t>1.7.1.8.03.1.0.00.00.00</t>
  </si>
  <si>
    <t>Transferência de Recursos do SUS - Atenção Primária</t>
  </si>
  <si>
    <t>1.7.1.8.03.1.1.00.00.00</t>
  </si>
  <si>
    <t>Transferência do SUS – Atenção Primária - Principal</t>
  </si>
  <si>
    <t>1.7.1.8.03.1.1.01.00.00</t>
  </si>
  <si>
    <t>Recursos do FNS - Bloco da Atenção Básica</t>
  </si>
  <si>
    <t>1.7.1.8.03.1.1.01.10.00</t>
  </si>
  <si>
    <t>CUSTEIO DA ATENÇÃO BÁSICA - PABS</t>
  </si>
  <si>
    <t>Incentivo Financeiro das APS - Capitação Ponderada</t>
  </si>
  <si>
    <t>1.7.1.8.03.2.0.00.00.00</t>
  </si>
  <si>
    <t>Transferência de Recursos do SUS – Atenção Especializada</t>
  </si>
  <si>
    <t>1.7.1.8.03.2.1.00.00.00</t>
  </si>
  <si>
    <t>Transferência do SUS – Atenção Especializada - Principal</t>
  </si>
  <si>
    <t>1.7.1.8.03.2.1.01.00.00</t>
  </si>
  <si>
    <t xml:space="preserve">Rep. Atenção à Saúde da pop. p/ Procedimentos no SAMU </t>
  </si>
  <si>
    <t>1.7.1.8.03.3.0.00.00.00</t>
  </si>
  <si>
    <t>Transferência de Recursos do SUS - Vigilância em Saúde</t>
  </si>
  <si>
    <t>1.7.1.8.03.3.1.00.00.00</t>
  </si>
  <si>
    <t>Transf Recursos do SUS - Vigilância em Saúde  - Principal</t>
  </si>
  <si>
    <t>1.7.1.8.03.3.1.02.00.00</t>
  </si>
  <si>
    <t>Repasses para a Vigilância em Saúde</t>
  </si>
  <si>
    <t>1.7.1.8.03.3.1.03.00.00</t>
  </si>
  <si>
    <t>Rep de incentivo p/ Execução de Ações de Vigilância Sanitári</t>
  </si>
  <si>
    <t>1.7.1.8.03.4.0.00.00.00</t>
  </si>
  <si>
    <t>Transferência de Recursos do SUS - Assistência Farmacêutica</t>
  </si>
  <si>
    <t>1.7.1.8.03.4.1.00.00.00</t>
  </si>
  <si>
    <t>Transferêcias do SUS - Assistência Farmacêutica  - Principal</t>
  </si>
  <si>
    <t>1.7.1.8.03.4.1.01.00.00</t>
  </si>
  <si>
    <t>Rep. da Promoção da Assitência Farmacêutica e Insumos</t>
  </si>
  <si>
    <t>1.7.1.8.04.0.0.00.00.00</t>
  </si>
  <si>
    <t>Transfência Recursos do SUS - Bloco de Estruturação RSPC</t>
  </si>
  <si>
    <t>1.7.1.8.04.1.0.00.00.00</t>
  </si>
  <si>
    <t>Transfer Recursos do SUS destinados à Atenção Primária</t>
  </si>
  <si>
    <t>1.7.1.8.04.1.1.00.00.00</t>
  </si>
  <si>
    <t>Transf Rec do SUS destinados à Atenção Primária - Principal</t>
  </si>
  <si>
    <t>1.7.1.8.04.1.1.01.00.00</t>
  </si>
  <si>
    <t>Repasses do Bloco da Proteção Social Especial de Média Compl</t>
  </si>
  <si>
    <t>1.7.1.8.04.1.1.01.01.00</t>
  </si>
  <si>
    <t>Rep. Estruturação da Rede de Serviços de Atenção Básica</t>
  </si>
  <si>
    <t>1.7.1.8.04.2.0.00.00.00</t>
  </si>
  <si>
    <t>Transfer Recursos do SUS destinados à Atenção Especializada</t>
  </si>
  <si>
    <t>1.7.1.8.04.2.1.00.00.00</t>
  </si>
  <si>
    <t>Transf Rec SUS destinados à Atenção Especializada- Principal</t>
  </si>
  <si>
    <t>1.7.1.8.05.0.0.00.00.00</t>
  </si>
  <si>
    <t>Transf Recursos Fundo Nacional Desenv da Educação -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</si>
  <si>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</si>
  <si>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</si>
  <si>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</si>
  <si>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</si>
  <si>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1.7.1.8.05.3.0.00.00.00</t>
  </si>
  <si>
    <t>Transf Direta FNDE Progr Nacional Alimentação Escolar - PNAE</t>
  </si>
  <si>
    <t>1.7.1.8.05.3.1.00.00.00</t>
  </si>
  <si>
    <t>Programa Nacional de Alimentação Escolar - PNAE - Principal</t>
  </si>
  <si>
    <t>1.7.1.8.05.3.1.01.00.00</t>
  </si>
  <si>
    <t>Transf. Diretas do FNDE ao PNAE - Ensino Fundamental</t>
  </si>
  <si>
    <t>1.7.1.8.05.3.1.02.00.00</t>
  </si>
  <si>
    <t>Transf. Diretas do FNDE ao PNAE - Educação de Jovens e Adult</t>
  </si>
  <si>
    <t>1.7.1.8.05.3.1.03.00.00</t>
  </si>
  <si>
    <t>Transf. Diretas do FNDE ao PNAE -Ensino Infantil Pre- Escola</t>
  </si>
  <si>
    <t>1.7.1.8.05.3.1.04.00.00</t>
  </si>
  <si>
    <t>Transf. Diretas do FNDE ao PNAE - Ensino Infantil - Creche</t>
  </si>
  <si>
    <t>1.7.1.8.05.3.1.05.00.00</t>
  </si>
  <si>
    <t>Transf. Diretas do FNDE ao PNAE - Alimentação Escolar - AEE</t>
  </si>
  <si>
    <t>1.7.1.8.05.3.1.06.00.00</t>
  </si>
  <si>
    <t>Transf. Diretas do FNDE ao PNAE - Mais Educação -Fundamental</t>
  </si>
  <si>
    <t>1.7.1.8.05.4.0.00.00.00</t>
  </si>
  <si>
    <t>Transf Direta FNDE Progr Nacion Apoio Transp Escolar - PNATE</t>
  </si>
  <si>
    <t>1.7.1.8.05.4.1.00.00.00</t>
  </si>
  <si>
    <t>Programa Nacional Apoio Transporte Escolar - PNATE - Princip</t>
  </si>
  <si>
    <t>1.7.1.8.05.4.1.01.00.00</t>
  </si>
  <si>
    <t>Transf.Diretas do FNDE ao Transp.Esc.- PNATE -Educ. Infantil</t>
  </si>
  <si>
    <t>1.7.1.8.05.4.1.02.00.00</t>
  </si>
  <si>
    <t>Transf.Diretas do FNDE ao Transp.Esc.- PNATE -Educ. Fundamen</t>
  </si>
  <si>
    <t>1.7.1.8.12.0.0.00.00.00</t>
  </si>
  <si>
    <t>Transf Recursos Fundo Nacional de Assistência Social - FNAS</t>
  </si>
  <si>
    <t>1.7.1.8.12.1.0.00.00.00</t>
  </si>
  <si>
    <t>1.7.1.8.12.1.1.00.00.00</t>
  </si>
  <si>
    <t>Transferências de Recursos do FNAS - Principal</t>
  </si>
  <si>
    <t>1.7.1.8.12.1.1.01.00.00</t>
  </si>
  <si>
    <t>REPASSES DO BLOCO DE PROTEÇÃO SOCIAL DE MÉDIA COMPLEXIDADE</t>
  </si>
  <si>
    <t>1.7.1.8.12.1.1.01.01.00</t>
  </si>
  <si>
    <t>Repasses para Componente do Piso Fixo de Média Complexidade</t>
  </si>
  <si>
    <t>1.7.1.8.12.1.1.01.02.00</t>
  </si>
  <si>
    <t>Inclemento da Proteção Social de Média Complexidade</t>
  </si>
  <si>
    <t>1.7.1.8.12.1.1.02.00.00</t>
  </si>
  <si>
    <t>REPASSES DO BLOCO DA PROTEÇÃO ESPECIAL DE ALTA COMPLEXIDADE</t>
  </si>
  <si>
    <t>1.7.1.8.12.1.1.02.01.00</t>
  </si>
  <si>
    <t>Repasses do Componente do Piso de Alta Complexidade I -ASILO</t>
  </si>
  <si>
    <t>1.7.1.8.12.1.1.02.03.00</t>
  </si>
  <si>
    <t>Repasses do Piso de Alta Complexidade I Criança e do Adolesc</t>
  </si>
  <si>
    <t>1.7.1.8.12.1.1.03.00.00</t>
  </si>
  <si>
    <t>Rep. Compenente - Serviço de Convivência e Fortalecimento de</t>
  </si>
  <si>
    <t>1.7.1.8.12.1.1.04.00.00</t>
  </si>
  <si>
    <t xml:space="preserve">Repasses p/ Componente do Piso Básico Variável III - Equipe </t>
  </si>
  <si>
    <t>1.7.1.8.12.1.1.05.00.00</t>
  </si>
  <si>
    <t xml:space="preserve">Repasses p/ Componente - Piso Básico Fixo </t>
  </si>
  <si>
    <t>1.7.1.8.12.1.1.06.00.00</t>
  </si>
  <si>
    <t>Repasse p/ Bloco da Gestão do Programa Bolsa Familia e Cadas</t>
  </si>
  <si>
    <t>1.7.1.8.12.1.1.07.00.00</t>
  </si>
  <si>
    <t>Repasses Componente - Progr. Primeira Infância no SUAS</t>
  </si>
  <si>
    <t>1.7.2.8.01.4.0.00.00.00</t>
  </si>
  <si>
    <t>Cota-Parte Contribuição de Intervenção no Domínio Econômico</t>
  </si>
  <si>
    <t>1.7.2.8.01.4.1.00.00.00</t>
  </si>
  <si>
    <t>Cota-Parte da CIDE - Principal</t>
  </si>
  <si>
    <t>1.7.2.8.01.5.0.00.00.00</t>
  </si>
  <si>
    <t>Outras Participações na Receita dos Estados</t>
  </si>
  <si>
    <t>1.7.2.8.01.5.1.00.00.00</t>
  </si>
  <si>
    <t>Outras Participações na Receita dos Estados - Principal</t>
  </si>
  <si>
    <t>1.7.2.8.01.5.1.02.00.00</t>
  </si>
  <si>
    <t>Receitas de Multas de Transito</t>
  </si>
  <si>
    <t>1.7.2.8.03.0.0.00.00.00</t>
  </si>
  <si>
    <t>Transf Rec do Estado p/ Progr Saúde - Repasse Fundo a Fundo</t>
  </si>
  <si>
    <t>1.7.2.8.03.1.0.00.00.00</t>
  </si>
  <si>
    <t>1.7.2.8.03.1.1.00.00.00</t>
  </si>
  <si>
    <t>Transf Rec Estado Prog Saúde - Rep Fundo a Fundo - Principal</t>
  </si>
  <si>
    <t>1.7.2.8.03.1.1.01.00.00</t>
  </si>
  <si>
    <t>Repasses Fundo a Funda do Estado as Equip de Saúde da Famíli</t>
  </si>
  <si>
    <t>1.7.2.8.03.1.1.02.00.00</t>
  </si>
  <si>
    <t>Repass. p/Custeio dos Centros de Atenção Psicosocial -CAPS I</t>
  </si>
  <si>
    <t>1.7.2.8.03.1.1.04.00.00</t>
  </si>
  <si>
    <t>Repasse p/Custeio e Manutenção das Unidades Móveis SB - SAMU</t>
  </si>
  <si>
    <t>1.7.2.8.03.1.1.05.00.00</t>
  </si>
  <si>
    <t>Repass.do Inc.da Farmácia Bás. e Insumos p/Controle Diabetes</t>
  </si>
  <si>
    <t>1.7.2.8.03.1.1.07.00.00</t>
  </si>
  <si>
    <t>Repas.do Incent.a Qualificação da Atenção Bás. em Saúde PIES</t>
  </si>
  <si>
    <t>1.7.2.8.03.1.1.14.00.00</t>
  </si>
  <si>
    <t>Repasses p/ Reabilitação de Pessoas c/ Deficência</t>
  </si>
  <si>
    <t>1.7.2.8.10.0.0.00.00.00</t>
  </si>
  <si>
    <t>Transf de Convênios dos Estados e do DF e de Suas Entidades</t>
  </si>
  <si>
    <t>1.7.2.8.10.2.0.00.00.00</t>
  </si>
  <si>
    <t>Transferências Convênio dos Estados p/ Programas de Educação</t>
  </si>
  <si>
    <t>1.7.2.8.10.2.1.00.00.00</t>
  </si>
  <si>
    <t>Transf Convênio Estados p/ Programas de Educação - Principal</t>
  </si>
  <si>
    <t>1.7.2.8.10.2.1.01.00.00</t>
  </si>
  <si>
    <t>Transfe. Convênios para o Transporte Escolar - Principal</t>
  </si>
  <si>
    <t>1.7.3.0.00.0.0.00.00.00</t>
  </si>
  <si>
    <t>1.7.3.8.00.0.0.00.00.00</t>
  </si>
  <si>
    <t>Transf dos Municípios - Específicas de Estados, DF e Municíp</t>
  </si>
  <si>
    <t>1.7.3.8.10.0.0.00.00.00</t>
  </si>
  <si>
    <t>Transf de Convênios dos Municípios e de Suas Entidades</t>
  </si>
  <si>
    <t>1.7.3.8.10.9.0.00.00.00</t>
  </si>
  <si>
    <t>Outras Transferências de Convênios dos Municípios</t>
  </si>
  <si>
    <t>1.7.3.8.10.9.1.00.00.00</t>
  </si>
  <si>
    <t>Outras Transferências Convênios dos Municípios - Principal</t>
  </si>
  <si>
    <t>1.7.3.8.10.9.1.01.00.00</t>
  </si>
  <si>
    <t>Auxilio Financeiro para o Município</t>
  </si>
  <si>
    <t>1.7.5.0.00.0.0.00.00.00</t>
  </si>
  <si>
    <t>1.7.5.8.00.0.0.00.00.00</t>
  </si>
  <si>
    <t>Transf de Outras Instit Públicas - Espec Estados, DF e Munic</t>
  </si>
  <si>
    <t>1.7.5.8.01.0.0.00.00.00</t>
  </si>
  <si>
    <t>Transferências de Recursos do FUNDEB</t>
  </si>
  <si>
    <t>1.7.5.8.01.1.0.00.00.00</t>
  </si>
  <si>
    <t>1.7.5.8.01.1.1.00.00.00</t>
  </si>
  <si>
    <t>Transferências de Recursos do FUNDEB - Principal</t>
  </si>
  <si>
    <t>1.9.0.0.00.0.0.00.00.00</t>
  </si>
  <si>
    <t>Outras Receitas Correntes</t>
  </si>
  <si>
    <t>1.9.2.0.00.0.0.00.00.00</t>
  </si>
  <si>
    <t>Indenizações, Restituições e Ressarcimentos</t>
  </si>
  <si>
    <t>1.9.2.8.00.0.0.00.00.00</t>
  </si>
  <si>
    <t>Indenizações, Restituições e Ressarcimentos - Espec E/DF/M</t>
  </si>
  <si>
    <t>1.9.2.8.02.0.0.00.00.00</t>
  </si>
  <si>
    <t>Restituições - Específicas para Estados/DF/Municípios</t>
  </si>
  <si>
    <t>1.9.2.8.02.9.0.00.00.00</t>
  </si>
  <si>
    <t>Outras Restituições - Específicas para Estados/DF/Municípios</t>
  </si>
  <si>
    <t>1.9.2.8.02.9.1.00.00.00</t>
  </si>
  <si>
    <t>Outras Restituições - Principal</t>
  </si>
  <si>
    <t>1.9.2.8.02.9.1.02.00.00</t>
  </si>
  <si>
    <t>Programa Troca-troca</t>
  </si>
  <si>
    <t>1.9.2.8.02.9.1.04.00.00</t>
  </si>
  <si>
    <t>Restituição Pelo Pagamento Indevido</t>
  </si>
  <si>
    <t>1.9.2.8.02.9.1.05.00.00</t>
  </si>
  <si>
    <t>Restituição de Auxílios</t>
  </si>
  <si>
    <t>1.9.2.8.02.9.2.00.00.00</t>
  </si>
  <si>
    <t>Outras Restituições - Multas e Juros de Mora</t>
  </si>
  <si>
    <t>1.9.2.8.02.9.2.01.00.00</t>
  </si>
  <si>
    <t>Restituições Determinadas pelo TCE</t>
  </si>
  <si>
    <t>1.9.2.8.02.9.2.02.00.00</t>
  </si>
  <si>
    <t>1.9.2.8.02.9.2.04.00.00</t>
  </si>
  <si>
    <t>1.9.2.8.02.9.2.05.00.00</t>
  </si>
  <si>
    <t>1.9.2.8.02.9.2.08.00.00</t>
  </si>
  <si>
    <t>Restituição por danos ao Patrimônio Público</t>
  </si>
  <si>
    <t>1.9.2.8.02.9.3.00.00.00</t>
  </si>
  <si>
    <t>Outras Restituições - Dívida Ativa</t>
  </si>
  <si>
    <t>1.9.2.8.02.9.3.01.00.00</t>
  </si>
  <si>
    <t>1.9.2.8.02.9.3.02.00.00</t>
  </si>
  <si>
    <t>1.9.2.8.02.9.3.04.00.00</t>
  </si>
  <si>
    <t>1.9.2.8.02.9.3.05.00.00</t>
  </si>
  <si>
    <t>1.9.2.8.02.9.4.00.00.00</t>
  </si>
  <si>
    <t>Outras Restituições - Multas e Juros de Mora da Dívida Ativa</t>
  </si>
  <si>
    <t>1.9.2.8.02.9.4.01.00.00</t>
  </si>
  <si>
    <t>1.9.2.8.02.9.4.02.00.00</t>
  </si>
  <si>
    <t>1.9.9.0.00.0.0.00.00.00</t>
  </si>
  <si>
    <t>Demais Receitas Correntes</t>
  </si>
  <si>
    <t>Compensações Financeiras entre o RGPS e os RPPS - Principal</t>
  </si>
  <si>
    <t>1.9.9.0.12.0.0.00.00.00</t>
  </si>
  <si>
    <t>Enc Legais Inscr Dív Ativa e Receitas de Ônus de Sucumbência</t>
  </si>
  <si>
    <t>1.9.9.0.12.2.0.00.00.00</t>
  </si>
  <si>
    <t>Ônus de Sucumbência</t>
  </si>
  <si>
    <t>1.9.9.0.12.2.1.00.00.00</t>
  </si>
  <si>
    <t>Ônus de Sucumbência - Principal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</si>
  <si>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</si>
  <si>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</si>
  <si>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</si>
  <si>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</si>
  <si>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</si>
  <si>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</si>
  <si>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1.9.9.0.99.1.1.99.00.00</t>
  </si>
  <si>
    <t>1.9.9.0.99.2.0.00.00.00</t>
  </si>
  <si>
    <t>1.9.9.0.99.2.1.00.00.00</t>
  </si>
  <si>
    <t>Outras Receitas - Financeiras - Principal</t>
  </si>
  <si>
    <t>2.3.0.0.00.0.0.00.00.00</t>
  </si>
  <si>
    <t>Amortização de Empréstimos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</si>
  <si>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</si>
  <si>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</si>
  <si>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</si>
  <si>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</si>
  <si>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</si>
  <si>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2.3.0.0.06.1.1.02.00.00</t>
  </si>
  <si>
    <t>AMORTIZACAO DE FINANC. CONCEDIDOS AOS CONT. E/OU AGRICULTORE</t>
  </si>
  <si>
    <t>1.1.2.8.01.1.1.02.00.00</t>
  </si>
  <si>
    <t>Taxas de Licença Veículos - Transporte de Alimentação</t>
  </si>
  <si>
    <t>1.1.2.8.01.1.2.06.00.00</t>
  </si>
  <si>
    <t>Taxa de Licença p/ Execução de Obras</t>
  </si>
  <si>
    <t>1.1.2.8.01.1.3.06.00.00</t>
  </si>
  <si>
    <t>1.1.2.8.01.1.4.06.00.00</t>
  </si>
  <si>
    <t>1.1.2.8.01.9.1.02.00.00</t>
  </si>
  <si>
    <t>Taxa de Licença Ambiental</t>
  </si>
  <si>
    <t>1.1.2.8.01.9.1.05.00.00</t>
  </si>
  <si>
    <t>Taxas de Tnasf. Ponto / Taxis</t>
  </si>
  <si>
    <t>1.1.2.8.01.9.1.06.00.00</t>
  </si>
  <si>
    <t>Taxas de Fiscalização Bombeiros</t>
  </si>
  <si>
    <t>1.1.2.8.01.9.1.07.00.00</t>
  </si>
  <si>
    <t>1.1.2.8.01.9.1.08.00.00</t>
  </si>
  <si>
    <t>1.1.2.8.01.9.2.02.00.00</t>
  </si>
  <si>
    <t>1.1.2.8.02.0.0.00.00.00</t>
  </si>
  <si>
    <t>Taxas pela Prestação de Serviços</t>
  </si>
  <si>
    <t>1.1.2.8.02.9.0.00.00.00</t>
  </si>
  <si>
    <t>Taxas pela Prestação de Serviços - Outras</t>
  </si>
  <si>
    <t>1.1.2.8.02.9.1.00.00.00</t>
  </si>
  <si>
    <t>Taxas pela Prestação de Serviços - Outras - Principal</t>
  </si>
  <si>
    <t>1.1.2.8.02.9.1.01.00.00</t>
  </si>
  <si>
    <t>Taxas de Prestação de Serviços</t>
  </si>
  <si>
    <t>1.1.2.8.02.9.1.02.00.00</t>
  </si>
  <si>
    <t>Taxa de Cemitério</t>
  </si>
  <si>
    <t>1.1.2.8.02.9.1.04.00.00</t>
  </si>
  <si>
    <t>Taxa de Serviços Cadastrais</t>
  </si>
  <si>
    <t>1.1.2.8.02.9.1.07.00.00</t>
  </si>
  <si>
    <t>Taxa de Limpeza Pública</t>
  </si>
  <si>
    <t>1.1.2.8.02.9.2.00.00.00</t>
  </si>
  <si>
    <t>Taxas pela Prestação de Serviços - Outras - Multas/Juros</t>
  </si>
  <si>
    <t>1.1.2.8.02.9.2.01.00.00</t>
  </si>
  <si>
    <t>1.1.2.8.02.9.2.04.00.00</t>
  </si>
  <si>
    <t>1.1.2.8.02.9.3.00.00.00</t>
  </si>
  <si>
    <t>Taxas pela Prestação de Serviços - Outras - Dívida Ativa</t>
  </si>
  <si>
    <t>1.1.2.8.02.9.3.02.00.00</t>
  </si>
  <si>
    <t>1.1.2.8.02.9.3.04.00.00</t>
  </si>
  <si>
    <t>1.1.2.8.02.9.3.07.00.00</t>
  </si>
  <si>
    <t>1.1.2.8.02.9.4.00.00.00</t>
  </si>
  <si>
    <t>Taxas pela Prest. de Serviços - Outras - D.A. Multas/Juros</t>
  </si>
  <si>
    <t>1.1.2.8.02.9.4.02.00.00</t>
  </si>
  <si>
    <t>1.1.2.8.02.9.4.04.00.00</t>
  </si>
  <si>
    <t>1.1.2.8.02.9.4.07.00.00</t>
  </si>
  <si>
    <t>1.7.2.8.02.0.0.00.00.00</t>
  </si>
  <si>
    <t>Transferência da Cota-parte da Compensação Financeira (25%)</t>
  </si>
  <si>
    <t>1.7.2.8.02.2.0.00.00.00</t>
  </si>
  <si>
    <t>Cota-parte da Compensação Financeira de Recursos Minerais</t>
  </si>
  <si>
    <t>1.7.2.8.02.2.1.00.00.00</t>
  </si>
  <si>
    <t>Cota-parte Compensação Financ Recursos Minerais - Principal</t>
  </si>
  <si>
    <t>Rec. Estimada:</t>
  </si>
  <si>
    <t>TABELA I - MEMÓRIA DE CÁLCULO E ESTUDOS E ESTIMATIVAS PARA O PPA 2022/2025</t>
  </si>
  <si>
    <t>Fonte dos Índices de atualização da Receita: FOCUS - Relatório de Mercado e Nota Técnica DEA 08/16</t>
  </si>
  <si>
    <t>Metodologia de apuração dos valores da Receita Estimada do PPA: 2022/2025: Soma da Receita Realizada dos quatros últimos anos divididos por três(03) e atualizado pelo IPCA e corrigido pelo PIB Brasil.</t>
  </si>
  <si>
    <t>Totais Lançados no Sistema:</t>
  </si>
  <si>
    <t>Valores Totais Bruto:</t>
  </si>
  <si>
    <t>Valores Totais do RPPS/FAPS:</t>
  </si>
  <si>
    <t>Totais do PPA/2022:</t>
  </si>
  <si>
    <t>Prefeitura</t>
  </si>
  <si>
    <t>Fundos:</t>
  </si>
  <si>
    <t>Total: PPA</t>
  </si>
  <si>
    <t>TABELA I - RESUMO DA MEMÓRIA DE CÁLCULO E ESTUDOS E ESTIMATIVAS PARA O PPA 2022/2025</t>
  </si>
  <si>
    <t>PPA: 2022/2025</t>
  </si>
  <si>
    <t>1.</t>
  </si>
  <si>
    <t>2.</t>
  </si>
  <si>
    <t>FAPS/RPPS</t>
  </si>
  <si>
    <t>3.</t>
  </si>
  <si>
    <t>Receita Consolidada:</t>
  </si>
  <si>
    <t>Fonte de Recursos: 1 - Recurso Livre - Administração Direta Municipal</t>
  </si>
  <si>
    <t>Fonte de Recursos: 20 - MDE - Manutenção e Desenvolvimento Ensino</t>
  </si>
  <si>
    <t>Fonte de Recursos: 31 - FUNDEB (a partir de 01/01/2007 - Instituído pela EC n° 53/2006)</t>
  </si>
  <si>
    <t>Fonte de Recursos: 40 - ASPS - Ações de Serviços Públicos de Saúde</t>
  </si>
  <si>
    <t>Fonte de Recursos: 50 - RPPS (instituído como FUNDO dentro da Administração Direta</t>
  </si>
  <si>
    <t>Fonte de Recursos: 1022 - PROGRAMA NACIONAL DE ALIMENTACAO ESCOLAR PNAE/FNDE.</t>
  </si>
  <si>
    <t>Fonte de Recursos: 1023 - SALARIO EDUCACAO</t>
  </si>
  <si>
    <t>Fonte de Recursos: 1024 - TRANSPORTE ESCOLAR</t>
  </si>
  <si>
    <t>Fonte de Recursos: 1026 - Recursos do PEATE/RS</t>
  </si>
  <si>
    <t>Fonte de Recursos: 1103 - SERVIÇOS AGROPECUARIOS</t>
  </si>
  <si>
    <t>Fonte de Recursos: 1121 - CONVÊNIO-UNIÃO C/ FUNDO DE ASSISTÊNCIA SOCIAL</t>
  </si>
  <si>
    <t>Fonte de Recursos: 1124 - Fundo Municipal da Criança e do Adolescente</t>
  </si>
  <si>
    <t>Fonte de Recursos: 1182 - COTA-PARTE DA MULTA DE TRANSITO</t>
  </si>
  <si>
    <t>Fonte de Recursos: 1184 - Recursos destinados a açoes valtadas ao meio ambiente e a infra infraestrutura.</t>
  </si>
  <si>
    <t>Fonte de Recursos: 1188 - FUNREBOM</t>
  </si>
  <si>
    <t>Fonte de Recursos: 1190 - CONVENIO COM O ESTADO PARA INFRA-ESTRUTU</t>
  </si>
  <si>
    <t>Fonte de Recursos: 1500 - FASM</t>
  </si>
  <si>
    <t>Fonte de Recursos: 4011 - Atenção Básica - PIES / Núcleo de Apoio à Atenção Básica - NAAB / Oficinas Terapêuticas / Redução de Danos / Rede Cegonha - exames pré-natais / Tele D</t>
  </si>
  <si>
    <t>Fonte de Recursos: 4050 - Farmácia Básica / Plantas Medicinais e Fitoterápicos / Diabetes Mellitus / Fraldas e outros insumos</t>
  </si>
  <si>
    <t>Fonte de Recursos: 4090 - PSF / NASF / ESF Quilombola / ESF Indígena / Saúde Bucal / Saúde Bucal Indígena / PACS / ESF Prisional / Residência Médica / Combate ao Racismo Instit</t>
  </si>
  <si>
    <t>Fonte de Recursos: 4170 - SAMU / UPA - Urgências - Remoção PAC</t>
  </si>
  <si>
    <t>Fonte de Recursos: 4220 - CAPS - Centro de Atenção Psicossocial</t>
  </si>
  <si>
    <t>Fonte de Recursos: 4500 - CUSTEIO - Atenção Básica</t>
  </si>
  <si>
    <t>Fonte de Recursos: 4501 - CUSTEIO - Atenção de média e alta complexidade ambulatorial e hospitalar</t>
  </si>
  <si>
    <t>Fonte de Recursos: 4502 - CUSTEIO - Vigilância em Saúde</t>
  </si>
  <si>
    <t xml:space="preserve">Fonte de Recursos: 4503 - CUSTEIO - Assistência Farmacêutica </t>
  </si>
  <si>
    <t>Fonte de Recursos: 4505 - INVESTIMENTO - Atenção Básica</t>
  </si>
  <si>
    <t>Fonte de Recursos: 4506 - INVESTIMENTO - Atenção Especializada</t>
  </si>
  <si>
    <t>TOTAIS POR FONTE:</t>
  </si>
  <si>
    <t>Tabela II - Estimativa da Receita Corrente Líquida</t>
  </si>
  <si>
    <t>PROJEÇÃO DA RECEITA CORRENTE LÍQUIDA P/ PPA:</t>
  </si>
  <si>
    <t>1.0.0.0.00.0.0.00</t>
  </si>
  <si>
    <t>1.2.1.8.01.1.1.00</t>
  </si>
  <si>
    <t>1.2.1.8.01.2.1.00</t>
  </si>
  <si>
    <t>1.2.1.8.01.3.1.00</t>
  </si>
  <si>
    <t>1.2.1.8.03.1.1.00</t>
  </si>
  <si>
    <t>1.3.2.1.00.4.1.00</t>
  </si>
  <si>
    <t>1.9.9.0.03.1.1.00</t>
  </si>
  <si>
    <t>1.7.1.8.01.2.1.04</t>
  </si>
  <si>
    <t>1.7.1.8.01.5.1.04</t>
  </si>
  <si>
    <t>1.7.2.8.01.1.1.04</t>
  </si>
  <si>
    <t>1.7.2.8.01.2.1.04</t>
  </si>
  <si>
    <t>1.7.2.8.01.3.1.04</t>
  </si>
  <si>
    <t>RECEITA CORRENTRE LÍQUIDA</t>
  </si>
  <si>
    <t>Elaborando de acordo com a</t>
  </si>
  <si>
    <t>INSTRUÇÃO NORMATIVA nº 4/2021 - TCE/RS.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</si>
  <si>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Sem a deduções das Receitas do IRRF dos Servidores Ativos e Inativos da Folha de Pessoal que vigorava antes da IN nº 2/2021 do TCE/RS.</t>
    </r>
  </si>
  <si>
    <t>PODER EXECUTIVO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</si>
  <si>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</si>
  <si>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</si>
  <si>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</si>
  <si>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</si>
  <si>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</si>
  <si>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</si>
  <si>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</si>
  <si>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Tabela 08 A - Estimativa de Valores Disponíveis para as Diretrizes, Objetivos e Metas a serem Financiados com Recursos do RPPS;</t>
  </si>
  <si>
    <t>Tabela 08 B - Estimativa de Valores Disponíveis para as Diretrizes, Objetivos e Metas a serem Financiados com Recursos do RPPS;</t>
  </si>
  <si>
    <t>Tabela 09 Avaliação Global / Consolidação de Valores Disponíveis para as Diretrizes, Objetivos e Metas do PPA.</t>
  </si>
  <si>
    <t>Tabela 03 - Estimativa de Limites de Gastos com Pessoal do Poder Executivo e Legislativo para o período de 2022 a 2025</t>
  </si>
  <si>
    <t xml:space="preserve"> Tabela 04 – Estimativa de Valores Máximos Disponíveis para as Diretrizes, Objetivos e Metas do  Poder Legislativo</t>
  </si>
  <si>
    <t>MEMÓRIA E METODOLOGIA DE CÁLCULO:</t>
  </si>
  <si>
    <t>ESTUDOS E ESTIMATIVAS PPA 2022/2025</t>
  </si>
  <si>
    <t>RECEITAS INCIDENTES PARA CÁLCULO DO ORÇAMENTO DA CÂMARA DE VEREADORES MUNICIPAL</t>
  </si>
  <si>
    <t>Período análisado:</t>
  </si>
  <si>
    <t>PPA</t>
  </si>
  <si>
    <t>Níveis:</t>
  </si>
  <si>
    <t>Exercícios:</t>
  </si>
  <si>
    <t>Realizado</t>
  </si>
  <si>
    <t>Até Ago/20</t>
  </si>
  <si>
    <t>3º Quad/20</t>
  </si>
  <si>
    <t>1100.00.00</t>
  </si>
  <si>
    <t>RECEITA TRIBUTÁRIA</t>
  </si>
  <si>
    <t>1.2.1.8.01.1.0</t>
  </si>
  <si>
    <t>Contribuição do Servidor Ativo</t>
  </si>
  <si>
    <t>1.2.1.0.04.2.2</t>
  </si>
  <si>
    <t>Multa e J. de Mora da Contrib Serv.</t>
  </si>
  <si>
    <t>1.2.1.0.04.2.3</t>
  </si>
  <si>
    <t>Dívida Ativa da Contrib Serv.</t>
  </si>
  <si>
    <t>1.2.1.0.04.2.4</t>
  </si>
  <si>
    <t>Multa J. daDív Ativ. Contrib Serv.</t>
  </si>
  <si>
    <t>1.2.4.0.00.1.1.</t>
  </si>
  <si>
    <t>Contrib. Custeio do Serv Ilum. Púb.</t>
  </si>
  <si>
    <t>Transf. União - Cota-parte do FPM</t>
  </si>
  <si>
    <t>1721.01.02.05</t>
  </si>
  <si>
    <t>( - ) Redutor do FPM p/ FUNDEB</t>
  </si>
  <si>
    <t>Transf. União - Cota-parte do ITR</t>
  </si>
  <si>
    <t>1721.01.05.04</t>
  </si>
  <si>
    <t>( - ) Redutor do ITR p/ FUNDEB</t>
  </si>
  <si>
    <t>1721.36</t>
  </si>
  <si>
    <t>Transf Financ. ICMS Desoneração</t>
  </si>
  <si>
    <t>1721.36.05</t>
  </si>
  <si>
    <t>( - ) Redutor do ICMS p/ FUNDEB</t>
  </si>
  <si>
    <t>1722.01.01</t>
  </si>
  <si>
    <t xml:space="preserve">Transf Financ Cota-parte do ICMS </t>
  </si>
  <si>
    <t>1722.01.01.05</t>
  </si>
  <si>
    <t>1722.01.02</t>
  </si>
  <si>
    <t>COTA-PARTE DO IPVA</t>
  </si>
  <si>
    <t>1722.01.02.04</t>
  </si>
  <si>
    <t>1722.01.04</t>
  </si>
  <si>
    <t>COTA-PARTE DO IPI</t>
  </si>
  <si>
    <t>1722.01.04.05</t>
  </si>
  <si>
    <t>1.7.2.8.01.4.1.00</t>
  </si>
  <si>
    <t>Cota Parte da  CIDE / Combustíveis</t>
  </si>
  <si>
    <t>Totais:</t>
  </si>
  <si>
    <t>Fonte: Valores projetados com IPCA projetado pela INPCFOCUS - Relatório de Mercado e Nota Técnica DEA 08/16</t>
  </si>
  <si>
    <t>CF/88 com as alterações promovidas pela EC n° 58/2009, o art. 29-A </t>
  </si>
  <si>
    <t>I - 7% (sete por cento) para Municípios com população de até 100.000 (cem mil) habitantes;</t>
  </si>
  <si>
    <t>Duodêcimo</t>
  </si>
  <si>
    <t>Giovani Amestoy da Silva</t>
  </si>
  <si>
    <t>Ihoko Nakashima Mota</t>
  </si>
  <si>
    <t>Arlei Lopes Souza</t>
  </si>
  <si>
    <t>Prefeito Municipal</t>
  </si>
  <si>
    <t>Secret. de Município da Fazenda</t>
  </si>
  <si>
    <t>Contador - CRC/RS: 068452/O-6</t>
  </si>
  <si>
    <t>PLANO PLURIANUAL  2022 - 2025</t>
  </si>
  <si>
    <t>Subtotal por Vínculos:</t>
  </si>
  <si>
    <t>Demais Recursos</t>
  </si>
  <si>
    <t>TOTAIS da Educação:</t>
  </si>
  <si>
    <t>Tabela 05 – Estimativa de Valores Disponíveis para as Diretrizes, Objetivos e Metas a serem Financiados com Recursos vinculados à Educação;</t>
  </si>
  <si>
    <t>Estimativa de Valores Disponíveis para as Diretrizes, Objetivos e Metas a serem Financiados com Recursos vinculados à Saúde</t>
  </si>
  <si>
    <t>TOTAIS da Saúde:</t>
  </si>
  <si>
    <t>Tabela 06 – Estimativa de Valores Disponíveis para as Diretrizes, Objetivos e Metas a serem Financiados com Recursos vinculados à Saúde;</t>
  </si>
  <si>
    <t xml:space="preserve">PEC dos Vereadores, proposta de emenda à constituição 336/09 = Arrecadação de R$ 30 a R$ 70 milhões gastos de até 3,75%; de 30 a 50 mil habitantes - </t>
  </si>
  <si>
    <t>Câmara Legislativa com 13 Vereadores.</t>
  </si>
  <si>
    <t>Estimativa de Valores Disponíveis para as Diretrizes, Objetivos e Metas a serem</t>
  </si>
  <si>
    <t xml:space="preserve"> Financiados com Recursos vinculados à Educação</t>
  </si>
  <si>
    <t xml:space="preserve">Estimativa de Valores Disponíveis para as Diretrizes, Objetivos e Metas a serem Financiados </t>
  </si>
  <si>
    <t>com Recursos vinculados à Assistência Social</t>
  </si>
  <si>
    <t>Tabela 07 – Estimativa de Valores Disponíveis para as Diretrizes, Objetivos e Metas a serem Financiados</t>
  </si>
  <si>
    <t xml:space="preserve"> com Recursos vinculados à Assistência Social;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</si>
</sst>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\ #,##0.00_);_(\ \-#,##0.00_);_(\ \-\ ??_);_(@_)"/>
    <numFmt numFmtId="167" formatCode="0.0%"/>
    <numFmt numFmtId="168" formatCode="#,##0.00_ ;\-#,##0.00\ "/>
    <numFmt numFmtId="169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FF0000"/>
      <name val="Arial"/>
      <family val="2"/>
    </font>
    <font>
      <sz val="6"/>
      <color rgb="FF000000"/>
      <name val="Arial"/>
      <family val="2"/>
    </font>
    <font>
      <sz val="6"/>
      <color rgb="FF000000"/>
      <name val="Arial"/>
      <family val="2"/>
    </font>
    <font>
      <sz val="6"/>
      <color rgb="FFFF0000"/>
      <name val="Arial"/>
      <family val="2"/>
    </font>
    <font>
      <sz val="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name val="Tahoma"/>
      <family val="2"/>
    </font>
    <font>
      <sz val="6"/>
      <name val="Verdana"/>
      <family val="2"/>
    </font>
    <font>
      <b/>
      <sz val="6"/>
      <name val="Calibri"/>
      <family val="2"/>
      <scheme val="minor"/>
    </font>
    <font>
      <b/>
      <sz val="6"/>
      <name val="Arial"/>
      <family val="2"/>
    </font>
    <font>
      <sz val="6"/>
      <color rgb="FF0070C0"/>
      <name val="Arial"/>
      <family val="2"/>
    </font>
    <font>
      <sz val="6"/>
      <color rgb="FF0070C0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63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165" fontId="3" fillId="0" borderId="0" xfId="0" applyNumberFormat="1" applyFont="1"/>
    <xf numFmtId="165" fontId="4" fillId="0" borderId="0" xfId="1" applyNumberFormat="1" applyFont="1"/>
    <xf numFmtId="165" fontId="5" fillId="0" borderId="0" xfId="1" applyNumberFormat="1" applyFont="1"/>
    <xf numFmtId="165" fontId="3" fillId="0" borderId="0" xfId="1" applyNumberFormat="1" applyFont="1"/>
    <xf numFmtId="0" fontId="3" fillId="0" borderId="0" xfId="0" applyFont="1"/>
    <xf numFmtId="165" fontId="3" fillId="0" borderId="0" xfId="1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6" fillId="0" borderId="2" xfId="0" applyFont="1" applyBorder="1" applyAlignment="1">
      <alignment horizontal="left"/>
    </xf>
    <xf numFmtId="166" fontId="6" fillId="0" borderId="3" xfId="0" applyNumberFormat="1" applyFont="1" applyBorder="1" applyAlignment="1">
      <alignment horizontal="right"/>
    </xf>
    <xf numFmtId="0" fontId="6" fillId="0" borderId="0" xfId="0" applyFont="1" applyAlignment="1"/>
    <xf numFmtId="166" fontId="7" fillId="0" borderId="3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/>
    <xf numFmtId="4" fontId="3" fillId="0" borderId="0" xfId="0" applyNumberFormat="1" applyFont="1" applyBorder="1"/>
    <xf numFmtId="4" fontId="8" fillId="0" borderId="0" xfId="0" applyNumberFormat="1" applyFont="1" applyBorder="1"/>
    <xf numFmtId="4" fontId="2" fillId="0" borderId="6" xfId="0" applyNumberFormat="1" applyFont="1" applyBorder="1"/>
    <xf numFmtId="0" fontId="9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/>
    </xf>
    <xf numFmtId="4" fontId="0" fillId="0" borderId="0" xfId="0" applyNumberFormat="1"/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3" fontId="4" fillId="0" borderId="1" xfId="1" applyFont="1" applyBorder="1"/>
    <xf numFmtId="0" fontId="11" fillId="0" borderId="1" xfId="0" applyFont="1" applyBorder="1"/>
    <xf numFmtId="165" fontId="4" fillId="0" borderId="1" xfId="1" applyNumberFormat="1" applyFont="1" applyBorder="1"/>
    <xf numFmtId="43" fontId="12" fillId="0" borderId="1" xfId="1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4" fillId="3" borderId="1" xfId="0" applyFont="1" applyFill="1" applyBorder="1" applyAlignment="1">
      <alignment horizontal="center"/>
    </xf>
    <xf numFmtId="43" fontId="12" fillId="3" borderId="1" xfId="1" applyFont="1" applyFill="1" applyBorder="1"/>
    <xf numFmtId="0" fontId="16" fillId="0" borderId="0" xfId="0" applyFont="1"/>
    <xf numFmtId="10" fontId="16" fillId="0" borderId="0" xfId="0" applyNumberFormat="1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43" fontId="16" fillId="3" borderId="1" xfId="1" applyFont="1" applyFill="1" applyBorder="1"/>
    <xf numFmtId="43" fontId="16" fillId="0" borderId="1" xfId="1" applyFont="1" applyBorder="1"/>
    <xf numFmtId="43" fontId="16" fillId="0" borderId="0" xfId="1" applyFont="1"/>
    <xf numFmtId="0" fontId="16" fillId="3" borderId="0" xfId="0" applyFont="1" applyFill="1"/>
    <xf numFmtId="0" fontId="16" fillId="0" borderId="1" xfId="0" applyFont="1" applyBorder="1"/>
    <xf numFmtId="0" fontId="4" fillId="0" borderId="1" xfId="0" applyFont="1" applyFill="1" applyBorder="1"/>
    <xf numFmtId="4" fontId="16" fillId="0" borderId="1" xfId="0" applyNumberFormat="1" applyFont="1" applyBorder="1"/>
    <xf numFmtId="0" fontId="16" fillId="3" borderId="1" xfId="0" applyFont="1" applyFill="1" applyBorder="1"/>
    <xf numFmtId="0" fontId="17" fillId="0" borderId="1" xfId="0" applyFont="1" applyBorder="1"/>
    <xf numFmtId="43" fontId="16" fillId="3" borderId="0" xfId="1" applyFont="1" applyFill="1"/>
    <xf numFmtId="43" fontId="16" fillId="0" borderId="12" xfId="1" applyFont="1" applyBorder="1"/>
    <xf numFmtId="43" fontId="16" fillId="0" borderId="13" xfId="1" applyFont="1" applyBorder="1"/>
    <xf numFmtId="43" fontId="16" fillId="0" borderId="0" xfId="0" applyNumberFormat="1" applyFont="1"/>
    <xf numFmtId="43" fontId="16" fillId="0" borderId="11" xfId="1" applyFont="1" applyBorder="1"/>
    <xf numFmtId="43" fontId="16" fillId="0" borderId="1" xfId="0" applyNumberFormat="1" applyFont="1" applyBorder="1"/>
    <xf numFmtId="0" fontId="18" fillId="0" borderId="1" xfId="0" applyFont="1" applyBorder="1"/>
    <xf numFmtId="0" fontId="16" fillId="0" borderId="0" xfId="0" applyFont="1" applyBorder="1"/>
    <xf numFmtId="43" fontId="16" fillId="0" borderId="0" xfId="1" applyFont="1" applyBorder="1"/>
    <xf numFmtId="43" fontId="16" fillId="3" borderId="0" xfId="1" applyFont="1" applyFill="1" applyBorder="1"/>
    <xf numFmtId="0" fontId="19" fillId="0" borderId="1" xfId="0" applyFont="1" applyBorder="1"/>
    <xf numFmtId="43" fontId="16" fillId="3" borderId="1" xfId="0" applyNumberFormat="1" applyFont="1" applyFill="1" applyBorder="1"/>
    <xf numFmtId="10" fontId="16" fillId="0" borderId="0" xfId="2" applyNumberFormat="1" applyFont="1" applyAlignment="1">
      <alignment horizontal="center"/>
    </xf>
    <xf numFmtId="0" fontId="12" fillId="0" borderId="1" xfId="0" applyFont="1" applyBorder="1"/>
    <xf numFmtId="0" fontId="12" fillId="0" borderId="0" xfId="0" applyFont="1"/>
    <xf numFmtId="4" fontId="12" fillId="0" borderId="1" xfId="0" applyNumberFormat="1" applyFont="1" applyBorder="1"/>
    <xf numFmtId="43" fontId="16" fillId="2" borderId="1" xfId="0" applyNumberFormat="1" applyFont="1" applyFill="1" applyBorder="1"/>
    <xf numFmtId="0" fontId="6" fillId="0" borderId="0" xfId="0" applyFont="1"/>
    <xf numFmtId="43" fontId="6" fillId="0" borderId="0" xfId="1" applyFont="1"/>
    <xf numFmtId="10" fontId="6" fillId="0" borderId="0" xfId="2" applyNumberFormat="1" applyFont="1"/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0" applyNumberFormat="1" applyFont="1"/>
    <xf numFmtId="3" fontId="6" fillId="0" borderId="0" xfId="0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  <xf numFmtId="0" fontId="4" fillId="0" borderId="0" xfId="0" applyFont="1" applyBorder="1"/>
    <xf numFmtId="10" fontId="6" fillId="0" borderId="0" xfId="2" applyNumberFormat="1" applyFont="1" applyAlignment="1">
      <alignment horizontal="left"/>
    </xf>
    <xf numFmtId="4" fontId="6" fillId="0" borderId="0" xfId="0" applyNumberFormat="1" applyFont="1"/>
    <xf numFmtId="0" fontId="7" fillId="0" borderId="0" xfId="0" applyFont="1"/>
    <xf numFmtId="0" fontId="14" fillId="0" borderId="1" xfId="0" applyFont="1" applyBorder="1"/>
    <xf numFmtId="4" fontId="16" fillId="0" borderId="0" xfId="0" applyNumberFormat="1" applyFont="1"/>
    <xf numFmtId="0" fontId="16" fillId="0" borderId="1" xfId="3" applyFont="1" applyFill="1" applyBorder="1" applyAlignment="1">
      <alignment vertical="center"/>
    </xf>
    <xf numFmtId="0" fontId="16" fillId="0" borderId="1" xfId="3" applyNumberFormat="1" applyFont="1" applyFill="1" applyBorder="1" applyAlignment="1">
      <alignment vertical="center" wrapText="1"/>
    </xf>
    <xf numFmtId="0" fontId="16" fillId="3" borderId="1" xfId="3" applyFont="1" applyFill="1" applyBorder="1" applyAlignment="1">
      <alignment vertical="center"/>
    </xf>
    <xf numFmtId="0" fontId="16" fillId="3" borderId="1" xfId="3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3" fontId="6" fillId="0" borderId="1" xfId="1" applyFont="1" applyBorder="1" applyAlignment="1">
      <alignment horizontal="right"/>
    </xf>
    <xf numFmtId="43" fontId="9" fillId="0" borderId="1" xfId="1" applyFont="1" applyFill="1" applyBorder="1" applyAlignment="1">
      <alignment vertical="center"/>
    </xf>
    <xf numFmtId="4" fontId="6" fillId="0" borderId="1" xfId="0" applyNumberFormat="1" applyFont="1" applyBorder="1"/>
    <xf numFmtId="0" fontId="16" fillId="0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6" fillId="0" borderId="1" xfId="3" applyNumberFormat="1" applyFont="1" applyFill="1" applyBorder="1" applyAlignment="1">
      <alignment vertical="center"/>
    </xf>
    <xf numFmtId="4" fontId="16" fillId="0" borderId="1" xfId="3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3" fontId="16" fillId="0" borderId="1" xfId="1" applyFont="1" applyFill="1" applyBorder="1" applyAlignment="1">
      <alignment vertical="center"/>
    </xf>
    <xf numFmtId="43" fontId="6" fillId="0" borderId="1" xfId="1" applyFont="1" applyBorder="1"/>
    <xf numFmtId="0" fontId="20" fillId="0" borderId="1" xfId="0" applyFont="1" applyBorder="1"/>
    <xf numFmtId="43" fontId="19" fillId="0" borderId="1" xfId="1" applyFont="1" applyBorder="1"/>
    <xf numFmtId="43" fontId="19" fillId="3" borderId="1" xfId="1" applyFont="1" applyFill="1" applyBorder="1"/>
    <xf numFmtId="0" fontId="19" fillId="0" borderId="0" xfId="0" applyFont="1"/>
    <xf numFmtId="167" fontId="6" fillId="0" borderId="1" xfId="2" applyNumberFormat="1" applyFont="1" applyBorder="1" applyAlignment="1">
      <alignment horizontal="center" vertical="center"/>
    </xf>
    <xf numFmtId="10" fontId="16" fillId="0" borderId="1" xfId="2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10" fontId="6" fillId="0" borderId="0" xfId="0" applyNumberFormat="1" applyFont="1"/>
    <xf numFmtId="10" fontId="6" fillId="0" borderId="1" xfId="2" applyNumberFormat="1" applyFont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/>
    </xf>
    <xf numFmtId="0" fontId="6" fillId="0" borderId="0" xfId="0" applyFont="1" applyBorder="1"/>
    <xf numFmtId="43" fontId="6" fillId="0" borderId="0" xfId="1" applyFont="1" applyBorder="1"/>
    <xf numFmtId="4" fontId="6" fillId="0" borderId="0" xfId="0" applyNumberFormat="1" applyFont="1" applyBorder="1"/>
    <xf numFmtId="10" fontId="6" fillId="0" borderId="0" xfId="2" applyNumberFormat="1" applyFont="1" applyBorder="1" applyAlignment="1">
      <alignment horizontal="center" vertical="center"/>
    </xf>
    <xf numFmtId="164" fontId="7" fillId="0" borderId="0" xfId="0" applyNumberFormat="1" applyFont="1"/>
    <xf numFmtId="0" fontId="6" fillId="0" borderId="1" xfId="0" applyFont="1" applyBorder="1" applyAlignment="1">
      <alignment horizontal="right"/>
    </xf>
    <xf numFmtId="43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3" fontId="6" fillId="3" borderId="1" xfId="1" applyFont="1" applyFill="1" applyBorder="1"/>
    <xf numFmtId="9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right"/>
    </xf>
    <xf numFmtId="17" fontId="6" fillId="0" borderId="0" xfId="0" applyNumberFormat="1" applyFont="1" applyAlignment="1">
      <alignment horizontal="left"/>
    </xf>
    <xf numFmtId="0" fontId="6" fillId="0" borderId="14" xfId="0" applyFont="1" applyBorder="1"/>
    <xf numFmtId="0" fontId="6" fillId="0" borderId="6" xfId="0" applyFont="1" applyBorder="1"/>
    <xf numFmtId="43" fontId="6" fillId="0" borderId="6" xfId="0" applyNumberFormat="1" applyFont="1" applyBorder="1"/>
    <xf numFmtId="43" fontId="6" fillId="0" borderId="15" xfId="0" applyNumberFormat="1" applyFont="1" applyBorder="1"/>
    <xf numFmtId="0" fontId="7" fillId="0" borderId="0" xfId="0" applyFont="1" applyAlignment="1">
      <alignment horizontal="left"/>
    </xf>
    <xf numFmtId="43" fontId="21" fillId="0" borderId="1" xfId="1" applyFont="1" applyFill="1" applyBorder="1" applyAlignment="1">
      <alignment horizontal="center"/>
    </xf>
    <xf numFmtId="43" fontId="22" fillId="0" borderId="1" xfId="1" applyFont="1" applyBorder="1"/>
    <xf numFmtId="43" fontId="14" fillId="0" borderId="0" xfId="0" applyNumberFormat="1" applyFont="1"/>
    <xf numFmtId="166" fontId="23" fillId="0" borderId="1" xfId="0" applyNumberFormat="1" applyFont="1" applyBorder="1" applyAlignment="1">
      <alignment horizontal="right"/>
    </xf>
    <xf numFmtId="166" fontId="12" fillId="0" borderId="16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166" fontId="6" fillId="0" borderId="0" xfId="0" applyNumberFormat="1" applyFont="1"/>
    <xf numFmtId="43" fontId="16" fillId="0" borderId="1" xfId="1" applyFont="1" applyFill="1" applyBorder="1"/>
    <xf numFmtId="0" fontId="3" fillId="0" borderId="1" xfId="0" applyFont="1" applyBorder="1" applyAlignment="1">
      <alignment horizontal="center"/>
    </xf>
    <xf numFmtId="4" fontId="14" fillId="0" borderId="0" xfId="0" applyNumberFormat="1" applyFont="1"/>
    <xf numFmtId="0" fontId="3" fillId="0" borderId="1" xfId="0" quotePrefix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/>
    <xf numFmtId="43" fontId="14" fillId="0" borderId="1" xfId="1" applyFont="1" applyBorder="1"/>
    <xf numFmtId="43" fontId="15" fillId="0" borderId="1" xfId="1" applyFont="1" applyBorder="1"/>
    <xf numFmtId="4" fontId="24" fillId="0" borderId="1" xfId="0" applyNumberFormat="1" applyFont="1" applyBorder="1"/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/>
    <xf numFmtId="0" fontId="15" fillId="0" borderId="0" xfId="0" applyFont="1"/>
    <xf numFmtId="4" fontId="15" fillId="0" borderId="1" xfId="0" applyNumberFormat="1" applyFont="1" applyBorder="1"/>
    <xf numFmtId="0" fontId="19" fillId="0" borderId="6" xfId="0" applyFont="1" applyBorder="1"/>
    <xf numFmtId="0" fontId="16" fillId="0" borderId="6" xfId="0" applyFont="1" applyBorder="1"/>
    <xf numFmtId="0" fontId="16" fillId="3" borderId="6" xfId="0" applyFont="1" applyFill="1" applyBorder="1"/>
    <xf numFmtId="43" fontId="16" fillId="0" borderId="6" xfId="0" applyNumberFormat="1" applyFont="1" applyBorder="1"/>
    <xf numFmtId="43" fontId="16" fillId="0" borderId="15" xfId="0" applyNumberFormat="1" applyFont="1" applyBorder="1"/>
    <xf numFmtId="10" fontId="6" fillId="0" borderId="1" xfId="1" applyNumberFormat="1" applyFont="1" applyBorder="1"/>
    <xf numFmtId="4" fontId="7" fillId="0" borderId="0" xfId="0" applyNumberFormat="1" applyFont="1"/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43" fontId="14" fillId="0" borderId="0" xfId="1" applyFont="1"/>
    <xf numFmtId="0" fontId="16" fillId="0" borderId="0" xfId="0" applyFont="1" applyAlignment="1">
      <alignment horizontal="right"/>
    </xf>
    <xf numFmtId="43" fontId="16" fillId="0" borderId="0" xfId="1" applyFont="1" applyAlignment="1">
      <alignment horizontal="center"/>
    </xf>
    <xf numFmtId="0" fontId="4" fillId="6" borderId="1" xfId="0" applyFont="1" applyFill="1" applyBorder="1"/>
    <xf numFmtId="0" fontId="16" fillId="6" borderId="1" xfId="0" applyFont="1" applyFill="1" applyBorder="1"/>
    <xf numFmtId="43" fontId="16" fillId="6" borderId="1" xfId="1" applyFont="1" applyFill="1" applyBorder="1"/>
    <xf numFmtId="0" fontId="26" fillId="0" borderId="0" xfId="0" applyNumberFormat="1" applyFont="1" applyAlignment="1">
      <alignment horizontal="left"/>
    </xf>
    <xf numFmtId="0" fontId="28" fillId="5" borderId="1" xfId="0" applyNumberFormat="1" applyFont="1" applyFill="1" applyBorder="1" applyAlignment="1">
      <alignment horizontal="center"/>
    </xf>
    <xf numFmtId="0" fontId="0" fillId="0" borderId="1" xfId="0" applyBorder="1"/>
    <xf numFmtId="166" fontId="25" fillId="0" borderId="1" xfId="0" quotePrefix="1" applyNumberFormat="1" applyFont="1" applyBorder="1" applyAlignment="1">
      <alignment horizontal="left"/>
    </xf>
    <xf numFmtId="166" fontId="25" fillId="0" borderId="1" xfId="0" applyNumberFormat="1" applyFont="1" applyBorder="1" applyAlignment="1">
      <alignment horizontal="left"/>
    </xf>
    <xf numFmtId="166" fontId="25" fillId="0" borderId="1" xfId="0" applyNumberFormat="1" applyFont="1" applyBorder="1" applyAlignment="1">
      <alignment horizontal="right"/>
    </xf>
    <xf numFmtId="166" fontId="26" fillId="0" borderId="1" xfId="0" applyNumberFormat="1" applyFont="1" applyBorder="1" applyAlignment="1">
      <alignment horizontal="right"/>
    </xf>
    <xf numFmtId="166" fontId="6" fillId="0" borderId="14" xfId="0" applyNumberFormat="1" applyFont="1" applyBorder="1" applyAlignment="1"/>
    <xf numFmtId="0" fontId="26" fillId="0" borderId="0" xfId="0" applyNumberFormat="1" applyFont="1" applyAlignment="1">
      <alignment horizontal="left"/>
    </xf>
    <xf numFmtId="43" fontId="29" fillId="0" borderId="0" xfId="1" applyFont="1"/>
    <xf numFmtId="0" fontId="14" fillId="0" borderId="1" xfId="0" applyFont="1" applyBorder="1" applyAlignment="1">
      <alignment horizontal="right"/>
    </xf>
    <xf numFmtId="3" fontId="14" fillId="0" borderId="1" xfId="0" applyNumberFormat="1" applyFont="1" applyBorder="1"/>
    <xf numFmtId="43" fontId="15" fillId="0" borderId="1" xfId="0" applyNumberFormat="1" applyFont="1" applyBorder="1"/>
    <xf numFmtId="49" fontId="28" fillId="5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66" fontId="25" fillId="0" borderId="14" xfId="0" applyNumberFormat="1" applyFont="1" applyBorder="1" applyAlignment="1">
      <alignment horizontal="right"/>
    </xf>
    <xf numFmtId="166" fontId="13" fillId="0" borderId="1" xfId="0" applyNumberFormat="1" applyFont="1" applyBorder="1"/>
    <xf numFmtId="166" fontId="0" fillId="0" borderId="1" xfId="0" applyNumberFormat="1" applyBorder="1"/>
    <xf numFmtId="166" fontId="13" fillId="0" borderId="0" xfId="0" applyNumberFormat="1" applyFont="1"/>
    <xf numFmtId="166" fontId="0" fillId="0" borderId="0" xfId="0" applyNumberFormat="1"/>
    <xf numFmtId="0" fontId="25" fillId="0" borderId="0" xfId="0" applyNumberFormat="1" applyFont="1" applyAlignment="1"/>
    <xf numFmtId="0" fontId="25" fillId="0" borderId="0" xfId="0" applyFont="1"/>
    <xf numFmtId="0" fontId="26" fillId="0" borderId="0" xfId="0" applyNumberFormat="1" applyFont="1" applyAlignment="1"/>
    <xf numFmtId="0" fontId="27" fillId="0" borderId="0" xfId="0" applyNumberFormat="1" applyFont="1" applyAlignment="1">
      <alignment vertical="center"/>
    </xf>
    <xf numFmtId="0" fontId="15" fillId="4" borderId="0" xfId="0" applyNumberFormat="1" applyFont="1" applyFill="1" applyAlignment="1"/>
    <xf numFmtId="0" fontId="14" fillId="0" borderId="0" xfId="0" applyNumberFormat="1" applyFont="1" applyAlignment="1">
      <alignment vertical="center"/>
    </xf>
    <xf numFmtId="0" fontId="26" fillId="4" borderId="0" xfId="0" applyNumberFormat="1" applyFont="1" applyFill="1" applyAlignment="1"/>
    <xf numFmtId="0" fontId="13" fillId="0" borderId="0" xfId="0" applyFont="1" applyAlignment="1">
      <alignment horizontal="center"/>
    </xf>
    <xf numFmtId="166" fontId="15" fillId="0" borderId="0" xfId="0" applyNumberFormat="1" applyFont="1"/>
    <xf numFmtId="166" fontId="14" fillId="0" borderId="1" xfId="0" quotePrefix="1" applyNumberFormat="1" applyFont="1" applyBorder="1" applyAlignment="1">
      <alignment horizontal="left"/>
    </xf>
    <xf numFmtId="166" fontId="14" fillId="0" borderId="1" xfId="0" applyNumberFormat="1" applyFont="1" applyBorder="1" applyAlignment="1">
      <alignment horizontal="left"/>
    </xf>
    <xf numFmtId="166" fontId="14" fillId="0" borderId="1" xfId="0" applyNumberFormat="1" applyFont="1" applyBorder="1" applyAlignment="1">
      <alignment horizontal="right"/>
    </xf>
    <xf numFmtId="0" fontId="14" fillId="0" borderId="14" xfId="0" applyFont="1" applyBorder="1"/>
    <xf numFmtId="166" fontId="14" fillId="0" borderId="6" xfId="0" applyNumberFormat="1" applyFont="1" applyFill="1" applyBorder="1" applyAlignment="1">
      <alignment horizontal="left"/>
    </xf>
    <xf numFmtId="168" fontId="14" fillId="0" borderId="1" xfId="0" applyNumberFormat="1" applyFont="1" applyBorder="1"/>
    <xf numFmtId="168" fontId="14" fillId="0" borderId="6" xfId="0" applyNumberFormat="1" applyFont="1" applyBorder="1"/>
    <xf numFmtId="168" fontId="15" fillId="0" borderId="1" xfId="0" applyNumberFormat="1" applyFont="1" applyBorder="1"/>
    <xf numFmtId="0" fontId="0" fillId="7" borderId="0" xfId="0" applyFill="1" applyAlignment="1">
      <alignment horizontal="center" vertical="center"/>
    </xf>
    <xf numFmtId="0" fontId="30" fillId="7" borderId="0" xfId="0" applyFont="1" applyFill="1" applyAlignment="1">
      <alignment horizontal="center" vertical="center" wrapText="1"/>
    </xf>
    <xf numFmtId="0" fontId="31" fillId="7" borderId="0" xfId="0" applyFont="1" applyFill="1" applyAlignment="1">
      <alignment horizontal="center" wrapText="1"/>
    </xf>
    <xf numFmtId="0" fontId="32" fillId="7" borderId="0" xfId="0" applyFont="1" applyFill="1" applyAlignment="1">
      <alignment horizontal="center" wrapText="1"/>
    </xf>
    <xf numFmtId="1" fontId="30" fillId="7" borderId="1" xfId="1" applyNumberFormat="1" applyFont="1" applyFill="1" applyBorder="1" applyAlignment="1" applyProtection="1">
      <alignment horizontal="center" vertical="center" wrapText="1"/>
    </xf>
    <xf numFmtId="0" fontId="33" fillId="7" borderId="1" xfId="1" applyNumberFormat="1" applyFont="1" applyFill="1" applyBorder="1" applyAlignment="1" applyProtection="1">
      <alignment horizontal="left" vertical="center"/>
    </xf>
    <xf numFmtId="164" fontId="34" fillId="7" borderId="1" xfId="1" applyNumberFormat="1" applyFont="1" applyFill="1" applyBorder="1" applyAlignment="1" applyProtection="1">
      <alignment horizontal="left" vertical="center" indent="2"/>
    </xf>
    <xf numFmtId="49" fontId="35" fillId="7" borderId="0" xfId="0" applyNumberFormat="1" applyFont="1" applyFill="1" applyAlignment="1">
      <alignment vertical="center"/>
    </xf>
    <xf numFmtId="169" fontId="35" fillId="7" borderId="0" xfId="1" applyNumberFormat="1" applyFont="1" applyFill="1" applyAlignment="1" applyProtection="1">
      <alignment vertical="center"/>
    </xf>
    <xf numFmtId="0" fontId="33" fillId="7" borderId="11" xfId="1" applyNumberFormat="1" applyFont="1" applyFill="1" applyBorder="1" applyAlignment="1" applyProtection="1">
      <alignment horizontal="left" vertical="center"/>
    </xf>
    <xf numFmtId="0" fontId="33" fillId="7" borderId="12" xfId="1" applyNumberFormat="1" applyFont="1" applyFill="1" applyBorder="1" applyAlignment="1" applyProtection="1">
      <alignment horizontal="left" vertical="center"/>
    </xf>
    <xf numFmtId="0" fontId="33" fillId="7" borderId="13" xfId="1" applyNumberFormat="1" applyFont="1" applyFill="1" applyBorder="1" applyAlignment="1" applyProtection="1">
      <alignment horizontal="left" vertical="center"/>
    </xf>
    <xf numFmtId="0" fontId="35" fillId="0" borderId="0" xfId="0" applyFont="1" applyAlignment="1">
      <alignment horizontal="justify" vertical="top" wrapText="1"/>
    </xf>
    <xf numFmtId="0" fontId="36" fillId="0" borderId="0" xfId="0" applyFont="1"/>
    <xf numFmtId="0" fontId="37" fillId="0" borderId="0" xfId="0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4" xfId="0" applyFont="1" applyBorder="1"/>
    <xf numFmtId="0" fontId="15" fillId="0" borderId="1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4" fillId="0" borderId="11" xfId="0" applyFont="1" applyBorder="1"/>
    <xf numFmtId="0" fontId="2" fillId="0" borderId="15" xfId="0" applyFont="1" applyBorder="1" applyAlignment="1">
      <alignment horizontal="center"/>
    </xf>
    <xf numFmtId="0" fontId="3" fillId="0" borderId="12" xfId="0" applyFont="1" applyBorder="1"/>
    <xf numFmtId="165" fontId="2" fillId="0" borderId="11" xfId="1" applyNumberFormat="1" applyFont="1" applyBorder="1"/>
    <xf numFmtId="0" fontId="3" fillId="0" borderId="12" xfId="0" quotePrefix="1" applyFont="1" applyBorder="1"/>
    <xf numFmtId="165" fontId="2" fillId="0" borderId="12" xfId="1" applyNumberFormat="1" applyFont="1" applyBorder="1"/>
    <xf numFmtId="165" fontId="3" fillId="0" borderId="12" xfId="1" applyNumberFormat="1" applyFont="1" applyBorder="1"/>
    <xf numFmtId="0" fontId="4" fillId="0" borderId="12" xfId="0" quotePrefix="1" applyFont="1" applyBorder="1"/>
    <xf numFmtId="165" fontId="20" fillId="0" borderId="12" xfId="1" applyNumberFormat="1" applyFont="1" applyBorder="1"/>
    <xf numFmtId="0" fontId="4" fillId="0" borderId="12" xfId="0" applyFont="1" applyBorder="1"/>
    <xf numFmtId="165" fontId="4" fillId="0" borderId="12" xfId="1" applyNumberFormat="1" applyFont="1" applyBorder="1"/>
    <xf numFmtId="0" fontId="4" fillId="0" borderId="13" xfId="0" applyFont="1" applyBorder="1"/>
    <xf numFmtId="165" fontId="20" fillId="0" borderId="13" xfId="1" applyNumberFormat="1" applyFont="1" applyBorder="1"/>
    <xf numFmtId="0" fontId="3" fillId="0" borderId="14" xfId="0" applyFont="1" applyBorder="1"/>
    <xf numFmtId="165" fontId="2" fillId="0" borderId="6" xfId="1" applyNumberFormat="1" applyFont="1" applyBorder="1"/>
    <xf numFmtId="165" fontId="3" fillId="0" borderId="6" xfId="1" applyNumberFormat="1" applyFont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5" fontId="3" fillId="0" borderId="14" xfId="1" applyNumberFormat="1" applyFont="1" applyBorder="1"/>
    <xf numFmtId="17" fontId="2" fillId="0" borderId="6" xfId="0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165" fontId="2" fillId="0" borderId="15" xfId="1" applyNumberFormat="1" applyFont="1" applyBorder="1"/>
    <xf numFmtId="0" fontId="34" fillId="0" borderId="0" xfId="0" applyFont="1"/>
    <xf numFmtId="9" fontId="7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41" fillId="0" borderId="0" xfId="0" applyFont="1" applyAlignment="1">
      <alignment horizontal="left"/>
    </xf>
    <xf numFmtId="0" fontId="3" fillId="0" borderId="0" xfId="0" applyFont="1" applyProtection="1">
      <protection hidden="1"/>
    </xf>
    <xf numFmtId="0" fontId="41" fillId="0" borderId="0" xfId="0" applyFont="1"/>
    <xf numFmtId="0" fontId="41" fillId="0" borderId="0" xfId="0" applyFont="1" applyAlignment="1" applyProtection="1">
      <alignment horizontal="center"/>
      <protection hidden="1"/>
    </xf>
    <xf numFmtId="0" fontId="4" fillId="0" borderId="0" xfId="0" applyFont="1"/>
    <xf numFmtId="43" fontId="26" fillId="0" borderId="1" xfId="1" applyFont="1" applyBorder="1" applyAlignment="1">
      <alignment horizontal="right"/>
    </xf>
    <xf numFmtId="43" fontId="0" fillId="0" borderId="0" xfId="1" applyFont="1"/>
    <xf numFmtId="0" fontId="0" fillId="0" borderId="6" xfId="0" applyBorder="1"/>
    <xf numFmtId="0" fontId="13" fillId="0" borderId="6" xfId="0" applyFont="1" applyBorder="1" applyAlignment="1">
      <alignment horizontal="right"/>
    </xf>
    <xf numFmtId="43" fontId="0" fillId="0" borderId="6" xfId="1" applyFont="1" applyBorder="1"/>
    <xf numFmtId="0" fontId="0" fillId="0" borderId="6" xfId="0" applyBorder="1" applyAlignment="1">
      <alignment horizontal="right"/>
    </xf>
    <xf numFmtId="43" fontId="0" fillId="0" borderId="6" xfId="0" applyNumberFormat="1" applyBorder="1"/>
    <xf numFmtId="43" fontId="0" fillId="0" borderId="0" xfId="0" applyNumberFormat="1"/>
    <xf numFmtId="0" fontId="13" fillId="0" borderId="6" xfId="0" applyFont="1" applyBorder="1"/>
    <xf numFmtId="43" fontId="13" fillId="0" borderId="6" xfId="1" applyFont="1" applyBorder="1"/>
    <xf numFmtId="43" fontId="13" fillId="0" borderId="6" xfId="0" applyNumberFormat="1" applyFont="1" applyBorder="1"/>
    <xf numFmtId="166" fontId="0" fillId="0" borderId="6" xfId="0" applyNumberFormat="1" applyBorder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6" fillId="4" borderId="0" xfId="0" applyNumberFormat="1" applyFont="1" applyFill="1" applyAlignment="1">
      <alignment horizontal="left"/>
    </xf>
    <xf numFmtId="38" fontId="30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0" fillId="7" borderId="0" xfId="0" applyFont="1" applyFill="1" applyAlignment="1">
      <alignment horizontal="center" vertical="center" wrapText="1"/>
    </xf>
    <xf numFmtId="0" fontId="38" fillId="7" borderId="0" xfId="0" applyFont="1" applyFill="1" applyAlignment="1">
      <alignment horizontal="center"/>
    </xf>
    <xf numFmtId="0" fontId="32" fillId="7" borderId="0" xfId="0" applyFont="1" applyFill="1" applyAlignment="1">
      <alignment horizontal="center"/>
    </xf>
    <xf numFmtId="0" fontId="39" fillId="7" borderId="0" xfId="0" applyFont="1" applyFill="1" applyAlignment="1">
      <alignment horizontal="center"/>
    </xf>
    <xf numFmtId="49" fontId="30" fillId="7" borderId="1" xfId="0" applyNumberFormat="1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49" fontId="30" fillId="7" borderId="5" xfId="0" applyNumberFormat="1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left"/>
    </xf>
    <xf numFmtId="0" fontId="28" fillId="5" borderId="1" xfId="0" applyNumberFormat="1" applyFont="1" applyFill="1" applyBorder="1" applyAlignment="1">
      <alignment horizontal="left" vertical="center"/>
    </xf>
    <xf numFmtId="0" fontId="28" fillId="5" borderId="11" xfId="0" applyNumberFormat="1" applyFont="1" applyFill="1" applyBorder="1" applyAlignment="1">
      <alignment horizontal="left" vertical="center"/>
    </xf>
    <xf numFmtId="0" fontId="28" fillId="5" borderId="1" xfId="0" applyNumberFormat="1" applyFont="1" applyFill="1" applyBorder="1" applyAlignment="1">
      <alignment horizontal="center"/>
    </xf>
    <xf numFmtId="49" fontId="28" fillId="5" borderId="11" xfId="0" applyNumberFormat="1" applyFont="1" applyFill="1" applyBorder="1" applyAlignment="1">
      <alignment horizontal="center"/>
    </xf>
    <xf numFmtId="0" fontId="28" fillId="5" borderId="11" xfId="0" applyNumberFormat="1" applyFont="1" applyFill="1" applyBorder="1" applyAlignment="1">
      <alignment horizontal="center" vertical="center"/>
    </xf>
    <xf numFmtId="0" fontId="28" fillId="5" borderId="1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Alignment="1">
      <alignment horizontal="left"/>
    </xf>
    <xf numFmtId="166" fontId="26" fillId="5" borderId="1" xfId="0" applyNumberFormat="1" applyFont="1" applyFill="1" applyBorder="1" applyAlignment="1">
      <alignment horizontal="left"/>
    </xf>
    <xf numFmtId="0" fontId="0" fillId="0" borderId="0" xfId="0" applyAlignment="1"/>
    <xf numFmtId="0" fontId="25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left" vertical="center"/>
    </xf>
    <xf numFmtId="166" fontId="26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/>
    </xf>
  </cellXfs>
  <cellStyles count="4">
    <cellStyle name="Normal" xfId="0" builtinId="0"/>
    <cellStyle name="Normal 6" xfId="3" xr:uid="{00000000-0005-0000-0000-000001000000}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19050</xdr:rowOff>
        </xdr:from>
        <xdr:to>
          <xdr:col>5</xdr:col>
          <xdr:colOff>47625</xdr:colOff>
          <xdr:row>39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PA%202022-2025\PPA2022-2025%20-%20Tabelas%20de%20Receitas%20e%20Despesas%20(ROS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PA%202022-2025\PROJE&#199;&#213;ES_PPA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âmetros"/>
      <sheetName val="Projeções"/>
      <sheetName val="RCL"/>
      <sheetName val="Tabela III"/>
      <sheetName val="Câmara"/>
      <sheetName val="Educação"/>
      <sheetName val="Saúde"/>
      <sheetName val="Ass.Social"/>
      <sheetName val="RPPS"/>
      <sheetName val="Consolidação"/>
    </sheetNames>
    <sheetDataSet>
      <sheetData sheetId="0">
        <row r="7">
          <cell r="A7" t="str">
            <v>Município de :  Caçapava do sul</v>
          </cell>
        </row>
        <row r="8">
          <cell r="A8" t="str">
            <v>PLANO PLURIANUAL 2022 - 2025</v>
          </cell>
        </row>
      </sheetData>
      <sheetData sheetId="1" refreshError="1"/>
      <sheetData sheetId="2">
        <row r="5">
          <cell r="B5">
            <v>2022</v>
          </cell>
          <cell r="C5">
            <v>2023</v>
          </cell>
          <cell r="D5">
            <v>2024</v>
          </cell>
          <cell r="E5">
            <v>2025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Total"/>
      <sheetName val="RCL"/>
      <sheetName val="RecPref"/>
      <sheetName val="RecFAPS"/>
      <sheetName val="RecFASM"/>
      <sheetName val="Proj_Vlr_Camara"/>
      <sheetName val="Rec_p_FR"/>
      <sheetName val="Resumo"/>
      <sheetName val="Ensino"/>
      <sheetName val="Saúde"/>
      <sheetName val="SMAS"/>
      <sheetName val="PPA_Ações"/>
    </sheetNames>
    <sheetDataSet>
      <sheetData sheetId="0">
        <row r="16">
          <cell r="C16">
            <v>16164648</v>
          </cell>
          <cell r="E16">
            <v>12586830.369999999</v>
          </cell>
          <cell r="G16">
            <v>14335023.01</v>
          </cell>
          <cell r="I16">
            <v>14251067.439999999</v>
          </cell>
        </row>
        <row r="192">
          <cell r="C192">
            <v>3989813.88</v>
          </cell>
          <cell r="E192">
            <v>3982551.44</v>
          </cell>
          <cell r="G192">
            <v>3982551.44</v>
          </cell>
          <cell r="I192">
            <v>4021405.6</v>
          </cell>
        </row>
        <row r="209">
          <cell r="C209">
            <v>1163888.42</v>
          </cell>
          <cell r="E209">
            <v>910535.75</v>
          </cell>
          <cell r="G209">
            <v>1050222.82</v>
          </cell>
          <cell r="I209">
            <v>1070017</v>
          </cell>
        </row>
        <row r="259">
          <cell r="C259">
            <v>28295521.66</v>
          </cell>
          <cell r="E259">
            <v>30231870.210000001</v>
          </cell>
          <cell r="G259">
            <v>33239793.960000001</v>
          </cell>
          <cell r="I259">
            <v>36698582.539999999</v>
          </cell>
        </row>
        <row r="275">
          <cell r="C275">
            <v>1189699.26</v>
          </cell>
          <cell r="E275">
            <v>937809.4</v>
          </cell>
          <cell r="G275">
            <v>1079413.6100000001</v>
          </cell>
          <cell r="I275">
            <v>1114756.08</v>
          </cell>
        </row>
        <row r="353">
          <cell r="C353">
            <v>38246796.359999999</v>
          </cell>
          <cell r="E353">
            <v>40964127.289999999</v>
          </cell>
          <cell r="G353">
            <v>45253500.149999999</v>
          </cell>
          <cell r="I353">
            <v>49865498.719999999</v>
          </cell>
        </row>
        <row r="365">
          <cell r="C365">
            <v>3902843.86</v>
          </cell>
          <cell r="E365">
            <v>4178730.75</v>
          </cell>
          <cell r="G365">
            <v>4567463.1900000004</v>
          </cell>
          <cell r="I365">
            <v>5058335.12</v>
          </cell>
        </row>
        <row r="371">
          <cell r="C371">
            <v>561182.43000000005</v>
          </cell>
          <cell r="E371">
            <v>586535.65</v>
          </cell>
          <cell r="G371">
            <v>649980.23</v>
          </cell>
          <cell r="I371">
            <v>710914.72</v>
          </cell>
        </row>
        <row r="377">
          <cell r="C377">
            <v>133709.76000000001</v>
          </cell>
          <cell r="E377">
            <v>87941.06</v>
          </cell>
          <cell r="G377">
            <v>95331.3</v>
          </cell>
          <cell r="I377">
            <v>103823.88</v>
          </cell>
        </row>
        <row r="523">
          <cell r="C523">
            <v>5659104.3300000001</v>
          </cell>
          <cell r="E523">
            <v>6046374.04</v>
          </cell>
          <cell r="G523">
            <v>6647958.79</v>
          </cell>
          <cell r="I523">
            <v>7339716.5099999998</v>
          </cell>
        </row>
        <row r="526">
          <cell r="C526">
            <v>237939.85</v>
          </cell>
          <cell r="E526">
            <v>187561.88</v>
          </cell>
          <cell r="G526">
            <v>215882.72</v>
          </cell>
          <cell r="I526">
            <v>222951.22</v>
          </cell>
        </row>
        <row r="532">
          <cell r="C532">
            <v>7649359.2699999996</v>
          </cell>
          <cell r="E532">
            <v>8192825.46</v>
          </cell>
          <cell r="G532">
            <v>9050700.0299999993</v>
          </cell>
          <cell r="I532">
            <v>9973099.7400000002</v>
          </cell>
        </row>
        <row r="541">
          <cell r="C541">
            <v>780568.77</v>
          </cell>
          <cell r="E541">
            <v>835746.15</v>
          </cell>
          <cell r="G541">
            <v>913492.64</v>
          </cell>
          <cell r="I541">
            <v>1011667.02</v>
          </cell>
        </row>
        <row r="544">
          <cell r="C544">
            <v>112236.49</v>
          </cell>
          <cell r="E544">
            <v>117307.13</v>
          </cell>
          <cell r="G544">
            <v>129996.05</v>
          </cell>
          <cell r="I544">
            <v>142182.94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7"/>
  <sheetViews>
    <sheetView topLeftCell="A58" zoomScale="154" zoomScaleNormal="154" workbookViewId="0">
      <selection activeCell="B2" sqref="B2"/>
    </sheetView>
  </sheetViews>
  <sheetFormatPr defaultRowHeight="8.25" x14ac:dyDescent="0.15"/>
  <cols>
    <col min="1" max="1" width="8.7109375" style="46" customWidth="1"/>
    <col min="2" max="2" width="11.140625" style="46" bestFit="1" customWidth="1"/>
    <col min="3" max="3" width="10.28515625" style="46" customWidth="1"/>
    <col min="4" max="4" width="9.85546875" style="46" bestFit="1" customWidth="1"/>
    <col min="5" max="5" width="9.42578125" style="46" bestFit="1" customWidth="1"/>
    <col min="6" max="6" width="9.140625" style="46" bestFit="1" customWidth="1"/>
    <col min="7" max="7" width="9.42578125" style="46" bestFit="1" customWidth="1"/>
    <col min="8" max="8" width="10.28515625" style="46" customWidth="1"/>
    <col min="9" max="9" width="10.5703125" style="46" customWidth="1"/>
    <col min="10" max="10" width="9.5703125" style="46" customWidth="1"/>
    <col min="11" max="11" width="12.85546875" style="46" bestFit="1" customWidth="1"/>
    <col min="12" max="12" width="11" style="46" customWidth="1"/>
    <col min="13" max="13" width="10" style="46" bestFit="1" customWidth="1"/>
    <col min="14" max="14" width="12.28515625" style="46" bestFit="1" customWidth="1"/>
    <col min="15" max="15" width="12.5703125" style="46" bestFit="1" customWidth="1"/>
    <col min="16" max="16384" width="9.140625" style="46"/>
  </cols>
  <sheetData>
    <row r="1" spans="1:13" x14ac:dyDescent="0.15">
      <c r="B1" s="112" t="s">
        <v>1074</v>
      </c>
    </row>
    <row r="2" spans="1:13" x14ac:dyDescent="0.15">
      <c r="A2" s="46" t="s">
        <v>1076</v>
      </c>
    </row>
    <row r="3" spans="1:13" x14ac:dyDescent="0.15">
      <c r="A3" s="46" t="s">
        <v>1075</v>
      </c>
      <c r="H3" s="46" t="s">
        <v>106</v>
      </c>
      <c r="I3" s="47">
        <v>3.5999999999999997E-2</v>
      </c>
      <c r="J3" s="47">
        <v>3.2500000000000001E-2</v>
      </c>
      <c r="K3" s="47">
        <v>3.2500000000000001E-2</v>
      </c>
      <c r="L3" s="47">
        <v>3.2500000000000001E-2</v>
      </c>
    </row>
    <row r="4" spans="1:13" x14ac:dyDescent="0.15">
      <c r="H4" s="46" t="s">
        <v>107</v>
      </c>
      <c r="I4" s="47">
        <v>2.3400000000000001E-2</v>
      </c>
      <c r="J4" s="47">
        <v>2.5000000000000001E-2</v>
      </c>
      <c r="K4" s="47">
        <v>2.5000000000000001E-2</v>
      </c>
      <c r="L4" s="47">
        <v>3.5000000000000003E-2</v>
      </c>
    </row>
    <row r="5" spans="1:13" x14ac:dyDescent="0.15">
      <c r="B5" s="48"/>
      <c r="C5" s="48"/>
      <c r="D5" s="49">
        <v>2017</v>
      </c>
      <c r="E5" s="49">
        <v>2018</v>
      </c>
      <c r="F5" s="49">
        <v>2019</v>
      </c>
      <c r="G5" s="49">
        <v>2020</v>
      </c>
      <c r="H5" s="49">
        <v>2021</v>
      </c>
      <c r="I5" s="49">
        <v>2022</v>
      </c>
      <c r="J5" s="49">
        <v>2023</v>
      </c>
      <c r="K5" s="49">
        <v>2024</v>
      </c>
      <c r="L5" s="49">
        <v>2025</v>
      </c>
      <c r="M5" s="48" t="s">
        <v>90</v>
      </c>
    </row>
    <row r="6" spans="1:13" x14ac:dyDescent="0.15">
      <c r="A6" s="34" t="s">
        <v>75</v>
      </c>
      <c r="B6" s="35" t="s">
        <v>47</v>
      </c>
      <c r="C6" s="35"/>
      <c r="D6" s="35" t="s">
        <v>70</v>
      </c>
      <c r="E6" s="35" t="s">
        <v>70</v>
      </c>
      <c r="F6" s="35" t="s">
        <v>70</v>
      </c>
      <c r="G6" s="35" t="s">
        <v>70</v>
      </c>
      <c r="H6" s="44" t="s">
        <v>136</v>
      </c>
      <c r="I6" s="36" t="s">
        <v>89</v>
      </c>
      <c r="J6" s="36" t="s">
        <v>89</v>
      </c>
      <c r="K6" s="36" t="s">
        <v>89</v>
      </c>
      <c r="L6" s="36" t="s">
        <v>89</v>
      </c>
      <c r="M6" s="50" t="s">
        <v>91</v>
      </c>
    </row>
    <row r="7" spans="1:13" x14ac:dyDescent="0.15">
      <c r="A7" s="34" t="s">
        <v>76</v>
      </c>
      <c r="B7" s="34" t="s">
        <v>2</v>
      </c>
      <c r="C7" s="34"/>
      <c r="D7" s="37">
        <v>2084530.88</v>
      </c>
      <c r="E7" s="37">
        <f>2453134.84</f>
        <v>2453134.84</v>
      </c>
      <c r="F7" s="37">
        <f>2980342.85</f>
        <v>2980342.85</v>
      </c>
      <c r="G7" s="37">
        <v>3559369.14</v>
      </c>
      <c r="H7" s="51"/>
      <c r="I7" s="52">
        <f>(SUM(D7:G7)/3)*((1+I3)*(1+I4))</f>
        <v>3914901.8429856352</v>
      </c>
      <c r="J7" s="52">
        <f>(SUM(E7:H7)/3)*((1+J3)*(1+J4))</f>
        <v>3172414.0702581247</v>
      </c>
      <c r="K7" s="52">
        <f t="shared" ref="K7:L7" si="0">(SUM(F7:I7)/3)*((1+K3)*(1+K4))</f>
        <v>3688082.834040537</v>
      </c>
      <c r="L7" s="52">
        <f t="shared" si="0"/>
        <v>3792482.2995285927</v>
      </c>
      <c r="M7" s="52">
        <f>SUM(I7:L7)</f>
        <v>14567881.04681289</v>
      </c>
    </row>
    <row r="8" spans="1:13" x14ac:dyDescent="0.15">
      <c r="A8" s="34" t="s">
        <v>77</v>
      </c>
      <c r="B8" s="34" t="s">
        <v>1</v>
      </c>
      <c r="C8" s="34"/>
      <c r="D8" s="37">
        <f>2027524.82+24046.36+138215.07+409922.27</f>
        <v>2599708.52</v>
      </c>
      <c r="E8" s="37">
        <v>2525247.4900000002</v>
      </c>
      <c r="F8" s="37">
        <f>2969453.68</f>
        <v>2969453.68</v>
      </c>
      <c r="G8" s="37">
        <v>1717986.15</v>
      </c>
      <c r="H8" s="51"/>
      <c r="I8" s="52">
        <f>(SUM(D8:G8)/3)*((1+I3)*(1+I4))</f>
        <v>3467839.3717172057</v>
      </c>
      <c r="J8" s="52">
        <f>(SUM(E8:H8)/3)*((1+J3)*(1+J4))</f>
        <v>2544425.7164491671</v>
      </c>
      <c r="K8" s="52">
        <f t="shared" ref="K8:L8" si="1">(SUM(F8:I8)/3)*((1+K3)*(1+K4))</f>
        <v>2876944.6400557803</v>
      </c>
      <c r="L8" s="52">
        <f t="shared" si="1"/>
        <v>2753612.1191753387</v>
      </c>
      <c r="M8" s="52">
        <f t="shared" ref="M8:M56" si="2">SUM(I8:L8)</f>
        <v>11642821.847397493</v>
      </c>
    </row>
    <row r="9" spans="1:13" x14ac:dyDescent="0.15">
      <c r="A9" s="34" t="s">
        <v>78</v>
      </c>
      <c r="B9" s="34" t="s">
        <v>3</v>
      </c>
      <c r="C9" s="34"/>
      <c r="D9" s="37">
        <f>890057.61</f>
        <v>890057.61</v>
      </c>
      <c r="E9" s="37">
        <v>1029097.42</v>
      </c>
      <c r="F9" s="37">
        <f>956926.54</f>
        <v>956926.54</v>
      </c>
      <c r="G9" s="37">
        <v>1024268.05</v>
      </c>
      <c r="H9" s="51"/>
      <c r="I9" s="52">
        <f>(SUM(D9:G9)/3)*((1+I3)*(1+I4))</f>
        <v>1378438.6806492961</v>
      </c>
      <c r="J9" s="52">
        <f>(SUM(E9:H9)/3)*((1+J3)*(1+J4))</f>
        <v>1061943.2209443748</v>
      </c>
      <c r="K9" s="52">
        <f t="shared" ref="K9:L9" si="3">(SUM(F9:I9)/3)*((1+K3)*(1+K4))</f>
        <v>1185180.6285813444</v>
      </c>
      <c r="L9" s="52">
        <f t="shared" si="3"/>
        <v>1234151.6208820604</v>
      </c>
      <c r="M9" s="52">
        <f t="shared" si="2"/>
        <v>4859714.1510570757</v>
      </c>
    </row>
    <row r="10" spans="1:13" x14ac:dyDescent="0.15">
      <c r="A10" s="34" t="s">
        <v>79</v>
      </c>
      <c r="B10" s="34" t="s">
        <v>48</v>
      </c>
      <c r="C10" s="34"/>
      <c r="D10" s="37">
        <f>3362442.63+39846.55+10641.5+58849.21</f>
        <v>3471779.8899999997</v>
      </c>
      <c r="E10" s="37">
        <v>3989182.48</v>
      </c>
      <c r="F10" s="37">
        <f>5085619.08</f>
        <v>5085619.08</v>
      </c>
      <c r="G10" s="37">
        <v>3905252.39</v>
      </c>
      <c r="H10" s="51"/>
      <c r="I10" s="52">
        <f>(SUM(D10:G10)/3)*((1+I3)*(1+I4))</f>
        <v>5814310.5983076058</v>
      </c>
      <c r="J10" s="52">
        <f>(SUM(E10:H10)/3)*((1+J3)*(1+J4))</f>
        <v>4578984.4486531252</v>
      </c>
      <c r="K10" s="52">
        <f t="shared" ref="K10:L10" si="4">(SUM(F10:I10)/3)*((1+K3)*(1+K4))</f>
        <v>5222836.4158885973</v>
      </c>
      <c r="L10" s="52">
        <f t="shared" si="4"/>
        <v>5093321.3288883744</v>
      </c>
      <c r="M10" s="52">
        <f t="shared" si="2"/>
        <v>20709452.791737702</v>
      </c>
    </row>
    <row r="11" spans="1:13" x14ac:dyDescent="0.15">
      <c r="D11" s="53"/>
      <c r="E11" s="53"/>
      <c r="H11" s="54"/>
      <c r="M11" s="52">
        <f t="shared" ref="M11:M26" si="5">SUM(I11:L11)</f>
        <v>0</v>
      </c>
    </row>
    <row r="12" spans="1:13" x14ac:dyDescent="0.15">
      <c r="A12" s="52" t="s">
        <v>506</v>
      </c>
      <c r="B12" s="52" t="s">
        <v>505</v>
      </c>
      <c r="C12" s="52"/>
      <c r="D12" s="52">
        <f>233.48+252.56</f>
        <v>486.03999999999996</v>
      </c>
      <c r="E12" s="52">
        <f>1021.42+914.11</f>
        <v>1935.53</v>
      </c>
      <c r="F12" s="52">
        <f>465.33+361.04+1.25+0.07</f>
        <v>827.69</v>
      </c>
      <c r="G12" s="52">
        <f>1.17+0.17</f>
        <v>1.3399999999999999</v>
      </c>
      <c r="H12" s="51"/>
      <c r="I12" s="52">
        <f>(SUM(D12:G12)/3)*((1+I3)*(1+I4))</f>
        <v>1148.8079818133335</v>
      </c>
      <c r="J12" s="52">
        <f t="shared" ref="J12:L12" si="6">(SUM(E12:H12)/3)*((1+J3)*(1+J4))</f>
        <v>975.25613500000009</v>
      </c>
      <c r="K12" s="52">
        <f t="shared" si="6"/>
        <v>697.72355304260782</v>
      </c>
      <c r="L12" s="52">
        <f t="shared" si="6"/>
        <v>757.09551396036943</v>
      </c>
      <c r="M12" s="52">
        <f>SUM(I12:L12)</f>
        <v>3578.8831838163105</v>
      </c>
    </row>
    <row r="13" spans="1:13" x14ac:dyDescent="0.15">
      <c r="D13" s="53"/>
      <c r="E13" s="53"/>
      <c r="H13" s="54"/>
      <c r="M13" s="52"/>
    </row>
    <row r="14" spans="1:13" x14ac:dyDescent="0.15">
      <c r="A14" s="55" t="s">
        <v>524</v>
      </c>
      <c r="B14" s="55" t="s">
        <v>132</v>
      </c>
      <c r="C14" s="55"/>
      <c r="D14" s="52">
        <v>712173.71</v>
      </c>
      <c r="E14" s="52">
        <v>767917.26</v>
      </c>
      <c r="F14" s="52">
        <f>883731.23</f>
        <v>883731.23</v>
      </c>
      <c r="G14" s="52">
        <v>929448.53</v>
      </c>
      <c r="H14" s="51"/>
      <c r="I14" s="52">
        <f>(SUM(D14:G14)/3)*((1+I3)*(1+I4))</f>
        <v>1163888.4208749842</v>
      </c>
      <c r="J14" s="52">
        <f t="shared" ref="J14" si="7">(SUM(E14:H14)/3)*((1+J3)*(1+J4))</f>
        <v>910535.7466595833</v>
      </c>
      <c r="K14" s="52">
        <f>(SUM(F14:I14)/3)*((1+K3)*(1+K4))</f>
        <v>1050222.8230574189</v>
      </c>
      <c r="L14" s="52">
        <f>(SUM(G14:J14)/3)*((1+L3)*(1+L4))</f>
        <v>1070017.003270532</v>
      </c>
      <c r="M14" s="52">
        <f t="shared" si="5"/>
        <v>4194663.9938625181</v>
      </c>
    </row>
    <row r="15" spans="1:13" x14ac:dyDescent="0.15">
      <c r="H15" s="54"/>
      <c r="M15" s="52">
        <f t="shared" si="5"/>
        <v>0</v>
      </c>
    </row>
    <row r="16" spans="1:13" x14ac:dyDescent="0.15">
      <c r="A16" s="55"/>
      <c r="B16" s="97" t="s">
        <v>27</v>
      </c>
      <c r="C16" s="55"/>
      <c r="D16" s="98">
        <v>529785.35</v>
      </c>
      <c r="E16" s="99">
        <v>633413.96</v>
      </c>
      <c r="F16" s="57">
        <v>639818.66</v>
      </c>
      <c r="G16" s="57">
        <f>549045.62</f>
        <v>549045.62</v>
      </c>
      <c r="H16" s="58"/>
      <c r="I16" s="52">
        <f>(SUM(D16:G16)/3)*((1+I3)*(1+I4))</f>
        <v>831252.51520473894</v>
      </c>
      <c r="J16" s="52">
        <f t="shared" ref="J16:L16" si="8">(SUM(E16:H16)/3)*((1+J3)*(1+J4))</f>
        <v>642846.61329000012</v>
      </c>
      <c r="K16" s="52">
        <f t="shared" si="8"/>
        <v>712638.28527503856</v>
      </c>
      <c r="L16" s="52">
        <f t="shared" si="8"/>
        <v>720669.4487231822</v>
      </c>
      <c r="M16" s="52">
        <f>SUM(I16:L16)</f>
        <v>2907406.8624929599</v>
      </c>
    </row>
    <row r="17" spans="1:13" x14ac:dyDescent="0.15">
      <c r="A17" s="55"/>
      <c r="B17" s="55"/>
      <c r="C17" s="55"/>
      <c r="D17" s="55"/>
      <c r="E17" s="55"/>
      <c r="F17" s="55"/>
      <c r="G17" s="55"/>
      <c r="H17" s="58"/>
      <c r="I17" s="55"/>
      <c r="J17" s="55"/>
      <c r="K17" s="55"/>
      <c r="L17" s="55"/>
      <c r="M17" s="52"/>
    </row>
    <row r="18" spans="1:13" x14ac:dyDescent="0.15">
      <c r="A18" s="55"/>
      <c r="B18" s="70" t="s">
        <v>474</v>
      </c>
      <c r="C18" s="55"/>
      <c r="D18" s="55"/>
      <c r="E18" s="55"/>
      <c r="F18" s="55"/>
      <c r="G18" s="55"/>
      <c r="H18" s="58"/>
      <c r="I18" s="55"/>
      <c r="J18" s="55"/>
      <c r="K18" s="55"/>
      <c r="L18" s="55"/>
      <c r="M18" s="52"/>
    </row>
    <row r="19" spans="1:13" x14ac:dyDescent="0.15">
      <c r="A19" s="55"/>
      <c r="B19" s="55" t="s">
        <v>499</v>
      </c>
      <c r="C19" s="55"/>
      <c r="D19" s="55"/>
      <c r="E19" s="55"/>
      <c r="F19" s="55"/>
      <c r="G19" s="55"/>
      <c r="H19" s="58"/>
      <c r="I19" s="55"/>
      <c r="J19" s="55"/>
      <c r="K19" s="55"/>
      <c r="L19" s="55"/>
      <c r="M19" s="52"/>
    </row>
    <row r="20" spans="1:13" x14ac:dyDescent="0.15">
      <c r="A20" s="55" t="s">
        <v>522</v>
      </c>
      <c r="B20" s="55" t="s">
        <v>500</v>
      </c>
      <c r="C20" s="55"/>
      <c r="D20" s="57">
        <v>17300</v>
      </c>
      <c r="E20" s="52">
        <f>16050+9</f>
        <v>16059</v>
      </c>
      <c r="F20" s="52">
        <f>25086.08+86.07</f>
        <v>25172.15</v>
      </c>
      <c r="G20" s="52">
        <f>11280.39</f>
        <v>11280.39</v>
      </c>
      <c r="H20" s="58"/>
      <c r="I20" s="52">
        <f>(SUM(D20:G20)/3)*((1+I3)*(1+I4))</f>
        <v>24672.384905765339</v>
      </c>
      <c r="J20" s="52">
        <f t="shared" ref="J20:L20" si="9">(SUM(E20:H20)/3)*((1+J3)*(1+J4))</f>
        <v>18524.539725416667</v>
      </c>
      <c r="K20" s="52">
        <f t="shared" si="9"/>
        <v>21563.090696444258</v>
      </c>
      <c r="L20" s="52">
        <f t="shared" si="9"/>
        <v>19405.50043805992</v>
      </c>
      <c r="M20" s="52">
        <f>SUM(I20:L20)</f>
        <v>84165.51576568617</v>
      </c>
    </row>
    <row r="21" spans="1:13" x14ac:dyDescent="0.15">
      <c r="A21" s="55"/>
      <c r="B21" s="55" t="s">
        <v>501</v>
      </c>
      <c r="C21" s="55"/>
      <c r="D21" s="55"/>
      <c r="E21" s="55"/>
      <c r="F21" s="55"/>
      <c r="G21" s="55"/>
      <c r="H21" s="58"/>
      <c r="I21" s="55"/>
      <c r="J21" s="55"/>
      <c r="K21" s="55"/>
      <c r="L21" s="55"/>
      <c r="M21" s="52"/>
    </row>
    <row r="22" spans="1:13" x14ac:dyDescent="0.15">
      <c r="A22" s="55"/>
      <c r="B22" s="55"/>
      <c r="C22" s="55"/>
      <c r="D22" s="55"/>
      <c r="E22" s="55"/>
      <c r="F22" s="55"/>
      <c r="G22" s="55"/>
      <c r="H22" s="58"/>
      <c r="I22" s="55"/>
      <c r="J22" s="55"/>
      <c r="K22" s="55"/>
      <c r="L22" s="55"/>
      <c r="M22" s="52"/>
    </row>
    <row r="23" spans="1:13" x14ac:dyDescent="0.15">
      <c r="A23" s="55"/>
      <c r="B23" s="56" t="s">
        <v>72</v>
      </c>
      <c r="C23" s="56"/>
      <c r="D23" s="39">
        <f>1386.93</f>
        <v>1386.93</v>
      </c>
      <c r="E23" s="39">
        <f>602.35</f>
        <v>602.35</v>
      </c>
      <c r="F23" s="39">
        <f>317.53</f>
        <v>317.52999999999997</v>
      </c>
      <c r="G23" s="39">
        <f>74.83</f>
        <v>74.83</v>
      </c>
      <c r="H23" s="51"/>
      <c r="I23" s="52">
        <f>(SUM(D23:G23)/3)*((1+I3)*(1+I4))</f>
        <v>841.70523651200028</v>
      </c>
      <c r="J23" s="52">
        <f>(SUM(E23:H23)/3)*((1+J3)*(1+J4))</f>
        <v>350.90467562499998</v>
      </c>
      <c r="K23" s="52">
        <f>(SUM(F23:I23)/3)*((1+K3)*(1+K4))</f>
        <v>435.3422218720354</v>
      </c>
      <c r="L23" s="52">
        <f>(SUM(G23:J23)/3)*((1+L3)*(1+L4))</f>
        <v>451.47793970210114</v>
      </c>
      <c r="M23" s="52">
        <f t="shared" si="5"/>
        <v>2079.4300737111371</v>
      </c>
    </row>
    <row r="24" spans="1:13" x14ac:dyDescent="0.15">
      <c r="A24" s="55"/>
      <c r="B24" s="56" t="s">
        <v>73</v>
      </c>
      <c r="C24" s="56"/>
      <c r="D24" s="39">
        <f>48257.64</f>
        <v>48257.64</v>
      </c>
      <c r="E24" s="39">
        <v>17054.18</v>
      </c>
      <c r="F24" s="39">
        <f>7480.76</f>
        <v>7480.76</v>
      </c>
      <c r="G24" s="39">
        <f>4110.95</f>
        <v>4110.95</v>
      </c>
      <c r="H24" s="51"/>
      <c r="I24" s="52">
        <f>(SUM(D24:G24)/3)*((1+I3)*(1+I4))</f>
        <v>27178.794405224002</v>
      </c>
      <c r="J24" s="52">
        <f>(SUM(E24:H24)/3)*((1+J3)*(1+J4))</f>
        <v>10105.434486875001</v>
      </c>
      <c r="K24" s="52">
        <f>(SUM(F24:I24)/3)*((1+K3)*(1+K4))</f>
        <v>13677.103147784541</v>
      </c>
      <c r="L24" s="52">
        <f>(SUM(G24:J24)/3)*((1+L3)*(1+L4))</f>
        <v>14745.480161101816</v>
      </c>
      <c r="M24" s="52">
        <f t="shared" si="5"/>
        <v>65706.812200985354</v>
      </c>
    </row>
    <row r="25" spans="1:13" x14ac:dyDescent="0.15">
      <c r="A25" s="55"/>
      <c r="B25" s="56" t="s">
        <v>74</v>
      </c>
      <c r="C25" s="56"/>
      <c r="D25" s="39">
        <f>2404.56</f>
        <v>2404.56</v>
      </c>
      <c r="E25" s="39">
        <f>476.73</f>
        <v>476.73</v>
      </c>
      <c r="F25" s="39">
        <f>450.2</f>
        <v>450.2</v>
      </c>
      <c r="G25" s="39">
        <f>127.59</f>
        <v>127.59</v>
      </c>
      <c r="H25" s="51"/>
      <c r="I25" s="52">
        <f>(SUM(D25:G25)/3)*((1+I3)*(1+I4))</f>
        <v>1222.4877603306668</v>
      </c>
      <c r="J25" s="52">
        <f>(SUM(E25:H25)/3)*((1+J3)*(1+J4))</f>
        <v>372.00389916666666</v>
      </c>
      <c r="K25" s="52">
        <f>(SUM(F25:I25)/3)*((1+K3)*(1+K4))</f>
        <v>635.08548574331621</v>
      </c>
      <c r="L25" s="52">
        <f>(SUM(G25:J25)/3)*((1+L3)*(1+L4))</f>
        <v>613.42701313369389</v>
      </c>
      <c r="M25" s="52">
        <f t="shared" si="5"/>
        <v>2843.0041583743437</v>
      </c>
    </row>
    <row r="26" spans="1:13" x14ac:dyDescent="0.15">
      <c r="A26" s="55"/>
      <c r="B26" s="56" t="s">
        <v>156</v>
      </c>
      <c r="C26" s="56"/>
      <c r="D26" s="39">
        <v>4138.5600000000004</v>
      </c>
      <c r="E26" s="39">
        <v>1096.53</v>
      </c>
      <c r="F26" s="39">
        <v>4031.26</v>
      </c>
      <c r="G26" s="39">
        <v>1256.52</v>
      </c>
      <c r="H26" s="51"/>
      <c r="I26" s="52">
        <f>(SUM(D26:G26)/3)*((1+I3)*(1+I4))</f>
        <v>3718.9309812293341</v>
      </c>
      <c r="J26" s="52">
        <f t="shared" ref="J26:L26" si="10">(SUM(E26:H26)/3)*((1+J3)*(1+J4))</f>
        <v>2252.1983589583328</v>
      </c>
      <c r="K26" s="52">
        <f t="shared" si="10"/>
        <v>3177.3049384407568</v>
      </c>
      <c r="L26" s="52">
        <f t="shared" si="10"/>
        <v>2574.5790405915991</v>
      </c>
      <c r="M26" s="52">
        <f t="shared" si="5"/>
        <v>11723.013319220023</v>
      </c>
    </row>
    <row r="27" spans="1:13" x14ac:dyDescent="0.15">
      <c r="A27" s="55"/>
      <c r="B27" s="56" t="s">
        <v>157</v>
      </c>
      <c r="C27" s="56"/>
      <c r="D27" s="39">
        <v>4138.5600000000004</v>
      </c>
      <c r="E27" s="39">
        <v>4911.3500000000004</v>
      </c>
      <c r="F27" s="39">
        <f>4031.26</f>
        <v>4031.26</v>
      </c>
      <c r="G27" s="39">
        <f>2046.96</f>
        <v>2046.96</v>
      </c>
      <c r="H27" s="51"/>
      <c r="I27" s="52">
        <f>(SUM(D27:G27)/3)*((1+I3)*(1+I4))</f>
        <v>5346.4949529040005</v>
      </c>
      <c r="J27" s="52">
        <f t="shared" ref="J27:L27" si="11">(SUM(E27:H27)/3)*((1+J3)*(1+J4))</f>
        <v>3876.7997668749999</v>
      </c>
      <c r="K27" s="52">
        <f t="shared" si="11"/>
        <v>4030.3062145317381</v>
      </c>
      <c r="L27" s="52">
        <f t="shared" si="11"/>
        <v>4014.6056093692773</v>
      </c>
      <c r="M27" s="52">
        <f>SUM(I27:L27)</f>
        <v>17268.206543680015</v>
      </c>
    </row>
    <row r="28" spans="1:13" x14ac:dyDescent="0.15">
      <c r="A28" s="55" t="s">
        <v>436</v>
      </c>
      <c r="B28" s="56" t="s">
        <v>437</v>
      </c>
      <c r="C28" s="56"/>
      <c r="D28" s="39">
        <v>114468.32</v>
      </c>
      <c r="E28" s="39">
        <v>117320.57</v>
      </c>
      <c r="F28" s="39">
        <v>42843.28</v>
      </c>
      <c r="G28" s="39">
        <v>18843.689999999999</v>
      </c>
      <c r="H28" s="51"/>
      <c r="I28" s="52">
        <f>(SUM(D28:G28)/3)*((1+I3)*(1+I4))</f>
        <v>103718.5167161547</v>
      </c>
      <c r="J28" s="52">
        <f>(SUM(E28:H28)/3)*((1+J3)*(1+J4))</f>
        <v>63148.639058749999</v>
      </c>
      <c r="K28" s="52">
        <f>(SUM(F28:I28)/3)*((1+K3)*(1+K4))</f>
        <v>58350.231386763495</v>
      </c>
      <c r="L28" s="52">
        <f>(SUM(G28:J28)/3)*((1+L3)*(1+L4))</f>
        <v>66152.524650593245</v>
      </c>
      <c r="M28" s="52">
        <f t="shared" ref="M28" si="12">SUM(I28:L28)</f>
        <v>291369.91181226145</v>
      </c>
    </row>
    <row r="29" spans="1:13" x14ac:dyDescent="0.15">
      <c r="D29" s="91"/>
      <c r="H29" s="54"/>
      <c r="I29" s="53"/>
      <c r="J29" s="53"/>
      <c r="K29" s="53"/>
      <c r="L29" s="53"/>
      <c r="M29" s="62">
        <f>SUM(I29:L29)</f>
        <v>0</v>
      </c>
    </row>
    <row r="30" spans="1:13" x14ac:dyDescent="0.15">
      <c r="A30" s="55" t="s">
        <v>525</v>
      </c>
      <c r="B30" s="55" t="s">
        <v>526</v>
      </c>
      <c r="C30" s="55"/>
      <c r="D30" s="52">
        <f>98809.22</f>
        <v>98809.22</v>
      </c>
      <c r="E30" s="52">
        <f>126285.97</f>
        <v>126285.97</v>
      </c>
      <c r="F30" s="57">
        <f>95631.04</f>
        <v>95631.039999999994</v>
      </c>
      <c r="G30" s="57">
        <f>72579.58</f>
        <v>72579.58</v>
      </c>
      <c r="H30" s="58"/>
      <c r="I30" s="52">
        <f>(SUM(D30:G30)/3)*((1+I3)*(1+I4))</f>
        <v>138999.83197611468</v>
      </c>
      <c r="J30" s="52">
        <f>(SUM(E30:H30)/3)*((1+J3)*(1+J4))</f>
        <v>103889.80746812501</v>
      </c>
      <c r="K30" s="52">
        <f>(SUM(F30:I30)/3)*((1+K3)*(1+K4))</f>
        <v>108374.88715232395</v>
      </c>
      <c r="L30" s="52">
        <f>(SUM(G30:J30)/3)*((1+L3)*(1+L4))</f>
        <v>112374.07933128122</v>
      </c>
      <c r="M30" s="52">
        <f>SUM(I30:L30)</f>
        <v>463638.60592784488</v>
      </c>
    </row>
    <row r="31" spans="1:13" x14ac:dyDescent="0.15">
      <c r="H31" s="54"/>
      <c r="M31" s="52"/>
    </row>
    <row r="32" spans="1:13" x14ac:dyDescent="0.15">
      <c r="A32" s="34" t="s">
        <v>80</v>
      </c>
      <c r="B32" s="34" t="s">
        <v>5</v>
      </c>
      <c r="C32" s="34"/>
      <c r="D32" s="39">
        <f>14760520.77+3690129.83</f>
        <v>18450650.600000001</v>
      </c>
      <c r="E32" s="37">
        <f>15815164.96+3953790.83</f>
        <v>19768955.789999999</v>
      </c>
      <c r="F32" s="37">
        <f>17145882.99+4286470.38</f>
        <v>21432353.369999997</v>
      </c>
      <c r="G32" s="37">
        <f>16329117.52+4082279.01</f>
        <v>20411396.530000001</v>
      </c>
      <c r="H32" s="51">
        <f>19268497/0.8</f>
        <v>24085621.25</v>
      </c>
      <c r="I32" s="52">
        <f>(SUM(D32:G32)/3)*((1+I3)*(1+I4))</f>
        <v>28295521.674988233</v>
      </c>
      <c r="J32" s="52">
        <f>(SUM(E32:H32)/3)*((1+J3)*(1+J4))</f>
        <v>30231870.209896252</v>
      </c>
      <c r="K32" s="52">
        <f>(SUM(F32:I32)/3)*((1+K3)*(1+K4))</f>
        <v>33239793.962615121</v>
      </c>
      <c r="L32" s="52">
        <f>(SUM(G32:J32)/3)*((1+L3)*(1+L4))</f>
        <v>36698582.527752668</v>
      </c>
      <c r="M32" s="52">
        <f t="shared" si="2"/>
        <v>128465768.37525228</v>
      </c>
    </row>
    <row r="33" spans="1:13" x14ac:dyDescent="0.15">
      <c r="A33" s="34" t="s">
        <v>81</v>
      </c>
      <c r="B33" s="34" t="s">
        <v>49</v>
      </c>
      <c r="C33" s="34"/>
      <c r="D33" s="39">
        <f>846269.08</f>
        <v>846269.08</v>
      </c>
      <c r="E33" s="37">
        <f>878016.21</f>
        <v>878016.21</v>
      </c>
      <c r="F33" s="37">
        <f>945849.4</f>
        <v>945849.4</v>
      </c>
      <c r="G33" s="37">
        <f>918520.38</f>
        <v>918520.38</v>
      </c>
      <c r="H33" s="51"/>
      <c r="I33" s="52">
        <f>(SUM(D33:G33)/3)*((1+I3)*(1+I4))</f>
        <v>1268281.4213963228</v>
      </c>
      <c r="J33" s="52">
        <f>(SUM(E33:H33)/3)*((1+J3)*(1+J4))</f>
        <v>967433.79101395817</v>
      </c>
      <c r="K33" s="52">
        <f>(SUM(F33:I33)/3)*((1+K3)*(1+K4))</f>
        <v>1105107.9748592486</v>
      </c>
      <c r="L33" s="52">
        <f>(SUM(G33:J33)/3)*((1+L3)*(1+L4))</f>
        <v>1123578.1459614472</v>
      </c>
      <c r="M33" s="52">
        <f t="shared" si="2"/>
        <v>4464401.333230976</v>
      </c>
    </row>
    <row r="34" spans="1:13" x14ac:dyDescent="0.15">
      <c r="A34" s="34" t="s">
        <v>82</v>
      </c>
      <c r="B34" s="34" t="s">
        <v>49</v>
      </c>
      <c r="C34" s="34"/>
      <c r="D34" s="52">
        <v>820239.52</v>
      </c>
      <c r="E34" s="37">
        <v>856638.79</v>
      </c>
      <c r="F34" s="37">
        <f>910904.68</f>
        <v>910904.68</v>
      </c>
      <c r="G34" s="37">
        <f>920478.67</f>
        <v>920478.67</v>
      </c>
      <c r="H34" s="51"/>
      <c r="I34" s="52">
        <f>(SUM(D34:G34)/3)*((1+I3)*(1+I4))</f>
        <v>1239869.2540754615</v>
      </c>
      <c r="J34" s="52">
        <f>(SUM(E34:H34)/3)*((1+J3)*(1+J4))</f>
        <v>948255.81034624996</v>
      </c>
      <c r="K34" s="52">
        <f>(SUM(F34:I34)/3)*((1+K3)*(1+K4))</f>
        <v>1083448.3405168706</v>
      </c>
      <c r="L34" s="52">
        <f>(SUM(G34:J34)/3)*((1+L3)*(1+L4))</f>
        <v>1107323.5077476939</v>
      </c>
      <c r="M34" s="52">
        <f t="shared" si="2"/>
        <v>4378896.9126862762</v>
      </c>
    </row>
    <row r="35" spans="1:13" x14ac:dyDescent="0.15">
      <c r="A35" s="34" t="s">
        <v>83</v>
      </c>
      <c r="B35" s="34" t="s">
        <v>7</v>
      </c>
      <c r="C35" s="34"/>
      <c r="D35" s="39">
        <f>566315.29+141578.62</f>
        <v>707893.91</v>
      </c>
      <c r="E35" s="37">
        <f>630635+157658.57</f>
        <v>788293.57000000007</v>
      </c>
      <c r="F35" s="37">
        <f>694524.52+173630.97</f>
        <v>868155.49</v>
      </c>
      <c r="G35" s="37">
        <f>801568.66+200391.97</f>
        <v>1001960.63</v>
      </c>
      <c r="H35" s="51"/>
      <c r="I35" s="52">
        <f>(SUM(D35:G35)/3)*((1+I3)*(1+I4))</f>
        <v>1189699.2693308801</v>
      </c>
      <c r="J35" s="52">
        <f>(SUM(E35:H35)/3)*((1+J3)*(1+J4))</f>
        <v>937809.4016827083</v>
      </c>
      <c r="K35" s="52">
        <f>(SUM(F35:I35)/3)*((1+K3)*(1+K4))</f>
        <v>1079413.6247404125</v>
      </c>
      <c r="L35" s="52">
        <f>(SUM(G35:J35)/3)*((1+L3)*(1+L4))</f>
        <v>1114756.0833873027</v>
      </c>
      <c r="M35" s="52">
        <f t="shared" si="2"/>
        <v>4321678.3791413037</v>
      </c>
    </row>
    <row r="36" spans="1:13" x14ac:dyDescent="0.15">
      <c r="A36" s="34" t="s">
        <v>84</v>
      </c>
      <c r="B36" s="34" t="s">
        <v>50</v>
      </c>
      <c r="C36" s="34"/>
      <c r="D36" s="39">
        <f>115136.52+28784.04</f>
        <v>143920.56</v>
      </c>
      <c r="E36" s="37">
        <f>145193.2</f>
        <v>145193.20000000001</v>
      </c>
      <c r="F36" s="37"/>
      <c r="G36" s="37">
        <f>302473.68</f>
        <v>302473.68</v>
      </c>
      <c r="H36" s="51">
        <f>271877/0.8</f>
        <v>339846.25</v>
      </c>
      <c r="I36" s="52"/>
      <c r="J36" s="52"/>
      <c r="K36" s="52"/>
      <c r="L36" s="52"/>
      <c r="M36" s="52">
        <f t="shared" si="2"/>
        <v>0</v>
      </c>
    </row>
    <row r="37" spans="1:13" x14ac:dyDescent="0.15">
      <c r="A37" s="55"/>
      <c r="B37" s="34"/>
      <c r="C37" s="34"/>
      <c r="D37" s="37"/>
      <c r="E37" s="37"/>
      <c r="F37" s="37"/>
      <c r="G37" s="37"/>
      <c r="H37" s="51"/>
      <c r="I37" s="52"/>
      <c r="J37" s="52"/>
      <c r="K37" s="52"/>
      <c r="L37" s="52"/>
      <c r="M37" s="52">
        <f t="shared" si="2"/>
        <v>0</v>
      </c>
    </row>
    <row r="38" spans="1:13" x14ac:dyDescent="0.15">
      <c r="A38" s="55" t="s">
        <v>521</v>
      </c>
      <c r="B38" s="55" t="s">
        <v>123</v>
      </c>
      <c r="C38" s="55"/>
      <c r="D38" s="52">
        <f>35858.33+36929.07+33589.24+34844.45+34395.94+38704.57</f>
        <v>214321.59999999998</v>
      </c>
      <c r="E38" s="52">
        <f>44765.95+45178.4+47869.11+59450.67+60127.42+71434</f>
        <v>328825.55</v>
      </c>
      <c r="F38" s="52">
        <f>51727.27+47598.01+58815.72+57817.4+55954.03+58315.18</f>
        <v>330227.61</v>
      </c>
      <c r="G38" s="52">
        <f>63094.11+62379.99+30704.74+51730.58+64273.44+56214.1</f>
        <v>328396.95999999996</v>
      </c>
      <c r="H38" s="51">
        <f>58024.05+76580.12</f>
        <v>134604.16999999998</v>
      </c>
      <c r="I38" s="52">
        <f>(SUM(D38:G38)/3)*((1+I3)*(1+I4))</f>
        <v>424723.11088830931</v>
      </c>
      <c r="J38" s="52">
        <f>(SUM(E38:H38)/3)*((1+J3)*(1+J4))</f>
        <v>395828.0269285416</v>
      </c>
      <c r="K38" s="52">
        <f>(SUM(F38:I38)/3)*((1+K3)*(1+K4))</f>
        <v>429657.88939774461</v>
      </c>
      <c r="L38" s="52">
        <f>(SUM(G38:J38)/3)*((1+L3)*(1+L4))</f>
        <v>457217.36219970993</v>
      </c>
      <c r="M38" s="52">
        <f t="shared" si="2"/>
        <v>1707426.3894143056</v>
      </c>
    </row>
    <row r="39" spans="1:13" x14ac:dyDescent="0.15">
      <c r="A39" s="55" t="s">
        <v>523</v>
      </c>
      <c r="B39" s="55" t="s">
        <v>124</v>
      </c>
      <c r="C39" s="55"/>
      <c r="D39" s="52">
        <f>2817.57+8572.61+10055.49+9596.56+9644.98+12699.76</f>
        <v>53386.969999999994</v>
      </c>
      <c r="E39" s="52">
        <f>5259.35+5695.01+6312.26+14608.88+14371.64+10497.27</f>
        <v>56744.41</v>
      </c>
      <c r="F39" s="52">
        <f>17131.43+9305.29+11170.88+13226.86+22434.83+12055.99</f>
        <v>85325.280000000013</v>
      </c>
      <c r="G39" s="52">
        <f>9134.2+21891.18+26322.26+47240.56+60415.88+45108.52</f>
        <v>210112.59999999998</v>
      </c>
      <c r="H39" s="51">
        <f>37585.43+36238.4</f>
        <v>73823.83</v>
      </c>
      <c r="I39" s="52">
        <f>(SUM(D39:G39)/3)*((1+I3)*(1+I4))</f>
        <v>143333.90852954134</v>
      </c>
      <c r="J39" s="52">
        <f>(SUM(E39:H39)/3)*((1+J3)*(1+J4))</f>
        <v>150282.53395750001</v>
      </c>
      <c r="K39" s="52">
        <f>(SUM(F39:I39)/3)*((1+K3)*(1+K4))</f>
        <v>180828.78351168174</v>
      </c>
      <c r="L39" s="52">
        <f>(SUM(G39:J39)/3)*((1+L3)*(1+L4))</f>
        <v>205731.55259079023</v>
      </c>
      <c r="M39" s="52">
        <f t="shared" si="2"/>
        <v>680176.77858951327</v>
      </c>
    </row>
    <row r="40" spans="1:13" x14ac:dyDescent="0.15">
      <c r="A40" s="55" t="s">
        <v>520</v>
      </c>
      <c r="B40" s="55" t="s">
        <v>125</v>
      </c>
      <c r="C40" s="55"/>
      <c r="D40" s="52">
        <f>17921.8+16746.25+17939.14+18767.87</f>
        <v>71375.06</v>
      </c>
      <c r="E40" s="52">
        <f>17941.81+15371.58+15330.98+7735.96</f>
        <v>56380.329999999994</v>
      </c>
      <c r="F40" s="52">
        <f>8961.53+8560.17+8008.3+7825.36</f>
        <v>33355.360000000001</v>
      </c>
      <c r="G40" s="52">
        <f>8342.66+7605.84+4883.16+7226.26</f>
        <v>28057.919999999998</v>
      </c>
      <c r="H40" s="51">
        <f>3787.03+3062.69</f>
        <v>6849.72</v>
      </c>
      <c r="I40" s="52">
        <f>(SUM(D40:G40)/3)*((1+I3)*(1+I4))</f>
        <v>66854.881561869333</v>
      </c>
      <c r="J40" s="52">
        <f>(SUM(E40:H40)/3)*((1+J3)*(1+J4))</f>
        <v>43970.531393541663</v>
      </c>
      <c r="K40" s="52">
        <f>(SUM(F40:I40)/3)*((1+K3)*(1+K4))</f>
        <v>47665.647676815286</v>
      </c>
      <c r="L40" s="52">
        <f>(SUM(G40:J40)/3)*((1+L3)*(1+L4))</f>
        <v>51911.935125879332</v>
      </c>
      <c r="M40" s="52">
        <f t="shared" si="2"/>
        <v>210402.99575810562</v>
      </c>
    </row>
    <row r="41" spans="1:13" s="74" customFormat="1" x14ac:dyDescent="0.15">
      <c r="B41" s="73" t="s">
        <v>126</v>
      </c>
      <c r="C41" s="73"/>
      <c r="D41" s="40">
        <f>136062.65</f>
        <v>136062.65</v>
      </c>
      <c r="E41" s="40"/>
      <c r="F41" s="40"/>
      <c r="G41" s="40"/>
      <c r="H41" s="45"/>
      <c r="I41" s="40"/>
      <c r="J41" s="40"/>
      <c r="K41" s="40"/>
      <c r="L41" s="40"/>
      <c r="M41" s="40">
        <f t="shared" si="2"/>
        <v>0</v>
      </c>
    </row>
    <row r="42" spans="1:13" s="74" customFormat="1" x14ac:dyDescent="0.15">
      <c r="B42" s="73" t="s">
        <v>127</v>
      </c>
      <c r="C42" s="73"/>
      <c r="D42" s="40"/>
      <c r="E42" s="40"/>
      <c r="F42" s="40">
        <f>1120668.88</f>
        <v>1120668.8799999999</v>
      </c>
      <c r="G42" s="40"/>
      <c r="H42" s="45"/>
      <c r="I42" s="40"/>
      <c r="J42" s="40"/>
      <c r="K42" s="40"/>
      <c r="L42" s="40"/>
      <c r="M42" s="40">
        <f t="shared" si="2"/>
        <v>0</v>
      </c>
    </row>
    <row r="43" spans="1:13" s="74" customFormat="1" x14ac:dyDescent="0.15">
      <c r="B43" s="73" t="s">
        <v>128</v>
      </c>
      <c r="C43" s="73"/>
      <c r="D43" s="40"/>
      <c r="E43" s="40"/>
      <c r="F43" s="40"/>
      <c r="G43" s="40">
        <f>113674.73+1701371.6+2566399.04+1635140.71</f>
        <v>6016586.0800000001</v>
      </c>
      <c r="H43" s="45"/>
      <c r="I43" s="40"/>
      <c r="J43" s="40"/>
      <c r="K43" s="40"/>
      <c r="L43" s="40"/>
      <c r="M43" s="40">
        <f t="shared" si="2"/>
        <v>0</v>
      </c>
    </row>
    <row r="44" spans="1:13" s="74" customFormat="1" x14ac:dyDescent="0.15">
      <c r="B44" s="73" t="s">
        <v>129</v>
      </c>
      <c r="C44" s="73"/>
      <c r="D44" s="40"/>
      <c r="E44" s="40"/>
      <c r="F44" s="40"/>
      <c r="G44" s="40">
        <f>302473.68</f>
        <v>302473.68</v>
      </c>
      <c r="H44" s="45">
        <f>45770.56+22885.28</f>
        <v>68655.839999999997</v>
      </c>
      <c r="I44" s="40"/>
      <c r="J44" s="40"/>
      <c r="K44" s="40"/>
      <c r="L44" s="40"/>
      <c r="M44" s="40">
        <f t="shared" si="2"/>
        <v>0</v>
      </c>
    </row>
    <row r="45" spans="1:13" x14ac:dyDescent="0.15">
      <c r="H45" s="54"/>
      <c r="M45" s="52">
        <f t="shared" si="2"/>
        <v>0</v>
      </c>
    </row>
    <row r="46" spans="1:13" x14ac:dyDescent="0.15">
      <c r="A46" s="55" t="s">
        <v>527</v>
      </c>
      <c r="B46" s="34" t="s">
        <v>528</v>
      </c>
      <c r="C46" s="55"/>
      <c r="D46" s="52">
        <f>178735.68</f>
        <v>178735.68</v>
      </c>
      <c r="E46" s="57">
        <v>217313.52</v>
      </c>
      <c r="F46" s="57">
        <v>211735.86</v>
      </c>
      <c r="G46" s="57">
        <v>228381.6</v>
      </c>
      <c r="H46" s="51">
        <f>16531.8*12</f>
        <v>198381.59999999998</v>
      </c>
      <c r="I46" s="52">
        <f>(SUM(D46:G46)/3)*((1+I3)*(1+I4))</f>
        <v>295513.11546612799</v>
      </c>
      <c r="J46" s="52">
        <f>(SUM(E46:H46)/3)*((1+J3)*(1+J4))</f>
        <v>301905.71702375001</v>
      </c>
      <c r="K46" s="52">
        <f>(SUM(F46:I46)/3)*((1+K3)*(1+K4))</f>
        <v>329492.25348266552</v>
      </c>
      <c r="L46" s="52">
        <f>(SUM(G46:J46)/3)*((1+L3)*(1+L4))</f>
        <v>364826.44224830059</v>
      </c>
      <c r="M46" s="52">
        <f t="shared" si="2"/>
        <v>1291737.528220844</v>
      </c>
    </row>
    <row r="47" spans="1:13" x14ac:dyDescent="0.15">
      <c r="A47" s="55" t="s">
        <v>529</v>
      </c>
      <c r="B47" s="34" t="s">
        <v>530</v>
      </c>
      <c r="C47" s="55"/>
      <c r="D47" s="52">
        <v>2235107.3199999998</v>
      </c>
      <c r="E47" s="57">
        <v>2432152.71</v>
      </c>
      <c r="F47" s="57">
        <v>3969285.46</v>
      </c>
      <c r="G47" s="57">
        <v>3583077.58</v>
      </c>
      <c r="H47" s="51"/>
      <c r="I47" s="52">
        <f>(SUM(D47:G47)/3)*((1+I3)*(1+I4))</f>
        <v>4318587.4969440559</v>
      </c>
      <c r="J47" s="52">
        <f>(SUM(E47:H47)/3)*((1+J3)*(1+J4))</f>
        <v>3522245.9415572914</v>
      </c>
      <c r="K47" s="52">
        <f>(SUM(F47:I47)/3)*((1+K3)*(1+K4))</f>
        <v>4187725.113376535</v>
      </c>
      <c r="L47" s="52">
        <f>(SUM(G47:J47)/3)*((1+L3)*(1+L4))</f>
        <v>4069339.903677911</v>
      </c>
      <c r="M47" s="52">
        <f t="shared" si="2"/>
        <v>16097898.455555793</v>
      </c>
    </row>
    <row r="48" spans="1:13" x14ac:dyDescent="0.15">
      <c r="A48" s="55"/>
      <c r="B48" s="34" t="s">
        <v>115</v>
      </c>
      <c r="C48" s="55"/>
      <c r="D48" s="52"/>
      <c r="E48" s="57"/>
      <c r="F48" s="57"/>
      <c r="G48" s="57"/>
      <c r="H48" s="51">
        <f>8500*12</f>
        <v>102000</v>
      </c>
      <c r="I48" s="52">
        <f>(SUM(D48:G48)/3)*((1+I3)*(1+I4))</f>
        <v>0</v>
      </c>
      <c r="J48" s="52"/>
      <c r="K48" s="52"/>
      <c r="L48" s="52"/>
      <c r="M48" s="52">
        <f t="shared" si="2"/>
        <v>0</v>
      </c>
    </row>
    <row r="49" spans="1:13" x14ac:dyDescent="0.15">
      <c r="A49" s="55"/>
      <c r="B49" s="34" t="s">
        <v>116</v>
      </c>
      <c r="C49" s="55"/>
      <c r="D49" s="52"/>
      <c r="E49" s="57"/>
      <c r="F49" s="57"/>
      <c r="G49" s="57"/>
      <c r="H49" s="51">
        <f>16125*12</f>
        <v>193500</v>
      </c>
      <c r="I49" s="52">
        <f>(SUM(D49:G49)/3)*((1+I3)*(1+I4))</f>
        <v>0</v>
      </c>
      <c r="J49" s="52"/>
      <c r="K49" s="52"/>
      <c r="L49" s="52"/>
      <c r="M49" s="52">
        <f t="shared" si="2"/>
        <v>0</v>
      </c>
    </row>
    <row r="50" spans="1:13" x14ac:dyDescent="0.15">
      <c r="A50" s="55"/>
      <c r="B50" s="34" t="s">
        <v>117</v>
      </c>
      <c r="C50" s="55"/>
      <c r="D50" s="52"/>
      <c r="E50" s="57"/>
      <c r="F50" s="57"/>
      <c r="G50" s="57"/>
      <c r="H50" s="51">
        <f>9812*3+(12265*9)</f>
        <v>139821</v>
      </c>
      <c r="I50" s="52">
        <f>(SUM(D50:G50)/3)*((1+I3)*(1+I4))</f>
        <v>0</v>
      </c>
      <c r="J50" s="52"/>
      <c r="K50" s="52"/>
      <c r="L50" s="52"/>
      <c r="M50" s="52">
        <f t="shared" si="2"/>
        <v>0</v>
      </c>
    </row>
    <row r="51" spans="1:13" x14ac:dyDescent="0.15">
      <c r="A51" s="55"/>
      <c r="B51" s="34" t="s">
        <v>118</v>
      </c>
      <c r="C51" s="55"/>
      <c r="D51" s="52"/>
      <c r="E51" s="57"/>
      <c r="F51" s="57"/>
      <c r="G51" s="57"/>
      <c r="H51" s="51">
        <f>74400+(72850*10)</f>
        <v>802900</v>
      </c>
      <c r="I51" s="52">
        <f>(SUM(D51:G51)/3)*((1+I3)*(1+I4))</f>
        <v>0</v>
      </c>
      <c r="J51" s="52"/>
      <c r="K51" s="52"/>
      <c r="L51" s="52"/>
      <c r="M51" s="52">
        <f t="shared" si="2"/>
        <v>0</v>
      </c>
    </row>
    <row r="52" spans="1:13" x14ac:dyDescent="0.15">
      <c r="A52" s="55"/>
      <c r="B52" s="34" t="s">
        <v>119</v>
      </c>
      <c r="C52" s="55"/>
      <c r="D52" s="52"/>
      <c r="E52" s="57"/>
      <c r="F52" s="57"/>
      <c r="G52" s="57"/>
      <c r="H52" s="51">
        <f>103225.8*2+(124864.28*9)</f>
        <v>1330230.1200000001</v>
      </c>
      <c r="I52" s="52">
        <f>(SUM(D52:G52)/3)*((1+I3)*(1+I4))</f>
        <v>0</v>
      </c>
      <c r="J52" s="52"/>
      <c r="K52" s="52"/>
      <c r="L52" s="52"/>
      <c r="M52" s="52">
        <f t="shared" si="2"/>
        <v>0</v>
      </c>
    </row>
    <row r="53" spans="1:13" s="74" customFormat="1" x14ac:dyDescent="0.15">
      <c r="A53" s="73"/>
      <c r="B53" s="38" t="s">
        <v>120</v>
      </c>
      <c r="C53" s="73"/>
      <c r="D53" s="40"/>
      <c r="E53" s="75"/>
      <c r="F53" s="75"/>
      <c r="G53" s="75"/>
      <c r="H53" s="45">
        <f>180000*10</f>
        <v>1800000</v>
      </c>
      <c r="I53" s="40">
        <f>(SUM(D53:G53)/3)*((1+I3)*(1+I4))</f>
        <v>0</v>
      </c>
      <c r="J53" s="40"/>
      <c r="K53" s="40"/>
      <c r="L53" s="40"/>
      <c r="M53" s="40">
        <f t="shared" si="2"/>
        <v>0</v>
      </c>
    </row>
    <row r="54" spans="1:13" x14ac:dyDescent="0.15">
      <c r="A54" s="55" t="s">
        <v>531</v>
      </c>
      <c r="B54" s="34" t="s">
        <v>532</v>
      </c>
      <c r="C54" s="55"/>
      <c r="D54" s="52"/>
      <c r="E54" s="57">
        <v>1550.64</v>
      </c>
      <c r="F54" s="57">
        <v>513.41</v>
      </c>
      <c r="G54" s="57">
        <v>497160</v>
      </c>
      <c r="H54" s="51"/>
      <c r="I54" s="52">
        <f>(SUM(D54:G54)/3)*((1+I3)*(1+I4))</f>
        <v>176432.83496990669</v>
      </c>
      <c r="J54" s="52">
        <f>(SUM(E54:H54)/3)*((1+J3)*(1+J4))</f>
        <v>176111.68413854166</v>
      </c>
      <c r="K54" s="52">
        <f>(SUM(F54:I54)/3)*((1+K3)*(1+K4))</f>
        <v>237805.02179323809</v>
      </c>
      <c r="L54" s="52">
        <f>(SUM(G54:J54)/3)*((1+L3)*(1+L4))</f>
        <v>302675.37101291819</v>
      </c>
      <c r="M54" s="52">
        <f t="shared" si="2"/>
        <v>893024.9119146046</v>
      </c>
    </row>
    <row r="55" spans="1:13" s="74" customFormat="1" x14ac:dyDescent="0.15">
      <c r="A55" s="73"/>
      <c r="B55" s="38" t="s">
        <v>114</v>
      </c>
      <c r="C55" s="73"/>
      <c r="D55" s="40"/>
      <c r="E55" s="75"/>
      <c r="F55" s="75"/>
      <c r="G55" s="75">
        <v>2183397.94</v>
      </c>
      <c r="H55" s="45"/>
      <c r="I55" s="40"/>
      <c r="J55" s="40"/>
      <c r="K55" s="40"/>
      <c r="L55" s="40"/>
      <c r="M55" s="40">
        <f t="shared" si="2"/>
        <v>0</v>
      </c>
    </row>
    <row r="56" spans="1:13" x14ac:dyDescent="0.15">
      <c r="A56" s="55"/>
      <c r="B56" s="34" t="s">
        <v>111</v>
      </c>
      <c r="C56" s="55"/>
      <c r="D56" s="52">
        <v>12000</v>
      </c>
      <c r="E56" s="57">
        <v>24000</v>
      </c>
      <c r="F56" s="57">
        <v>24000</v>
      </c>
      <c r="G56" s="57">
        <v>12000</v>
      </c>
      <c r="H56" s="51"/>
      <c r="I56" s="52">
        <f>(SUM(D56:G56)/3)*((1+I3)*(1+I4))</f>
        <v>25445.817600000002</v>
      </c>
      <c r="J56" s="52">
        <f>(SUM(E56:H56)/3)*((1+J3)*(1+J4))</f>
        <v>21166.25</v>
      </c>
      <c r="K56" s="52">
        <f>(SUM(F56:I56)/3)*((1+K3)*(1+K4))</f>
        <v>21676.292279600002</v>
      </c>
      <c r="L56" s="52">
        <f>(SUM(G56:J56)/3)*((1+L3)*(1+L4))</f>
        <v>20878.351129965002</v>
      </c>
      <c r="M56" s="52">
        <f t="shared" si="2"/>
        <v>89166.711009564999</v>
      </c>
    </row>
    <row r="57" spans="1:13" x14ac:dyDescent="0.15">
      <c r="A57" s="55" t="s">
        <v>533</v>
      </c>
      <c r="B57" s="34" t="s">
        <v>534</v>
      </c>
      <c r="C57" s="55"/>
      <c r="D57" s="52">
        <v>503392.5</v>
      </c>
      <c r="E57" s="57">
        <v>510285</v>
      </c>
      <c r="F57" s="57">
        <v>484035</v>
      </c>
      <c r="G57" s="55"/>
      <c r="H57" s="51"/>
      <c r="I57" s="52">
        <f>(SUM(D57:G57)/3)*((1+I3)*(1+I4))</f>
        <v>529312.76517000003</v>
      </c>
      <c r="J57" s="52">
        <f>(SUM(E57:H57)/3)*((1+J3)*(1+J4))</f>
        <v>350767.09499999997</v>
      </c>
      <c r="K57" s="52">
        <f>(SUM(F57:I57)/3)*((1+K3)*(1+K4))</f>
        <v>357479.53557549184</v>
      </c>
      <c r="L57" s="52">
        <f>(SUM(G57:J57)/3)*((1+L3)*(1+L4))</f>
        <v>313495.4471908061</v>
      </c>
      <c r="M57" s="52">
        <f t="shared" ref="M57:M152" si="13">SUM(I57:L57)</f>
        <v>1551054.8429362979</v>
      </c>
    </row>
    <row r="58" spans="1:13" x14ac:dyDescent="0.15">
      <c r="A58" s="55"/>
      <c r="B58" s="34" t="s">
        <v>121</v>
      </c>
      <c r="C58" s="55"/>
      <c r="D58" s="52"/>
      <c r="E58" s="57"/>
      <c r="F58" s="57"/>
      <c r="G58" s="55"/>
      <c r="H58" s="51">
        <f>13125*12</f>
        <v>157500</v>
      </c>
      <c r="I58" s="52">
        <f>(SUM(D58:G58)/3)*((1+I3)*(1+I4))</f>
        <v>0</v>
      </c>
      <c r="J58" s="52"/>
      <c r="K58" s="52"/>
      <c r="L58" s="52"/>
      <c r="M58" s="52">
        <f t="shared" si="13"/>
        <v>0</v>
      </c>
    </row>
    <row r="59" spans="1:13" x14ac:dyDescent="0.15">
      <c r="A59" s="55"/>
      <c r="B59" s="34" t="s">
        <v>122</v>
      </c>
      <c r="C59" s="55"/>
      <c r="D59" s="52"/>
      <c r="E59" s="57"/>
      <c r="F59" s="57"/>
      <c r="G59" s="55"/>
      <c r="H59" s="51">
        <f>28305*12</f>
        <v>339660</v>
      </c>
      <c r="I59" s="52">
        <f>(SUM(D59:G59)/3)*((1+I3)*(1+I4))</f>
        <v>0</v>
      </c>
      <c r="J59" s="52"/>
      <c r="K59" s="52"/>
      <c r="L59" s="52"/>
      <c r="M59" s="52">
        <f t="shared" si="13"/>
        <v>0</v>
      </c>
    </row>
    <row r="60" spans="1:13" x14ac:dyDescent="0.15">
      <c r="A60" s="55" t="s">
        <v>535</v>
      </c>
      <c r="B60" s="34" t="s">
        <v>536</v>
      </c>
      <c r="C60" s="55"/>
      <c r="D60" s="52">
        <v>130522.93</v>
      </c>
      <c r="E60" s="57">
        <v>135513.37</v>
      </c>
      <c r="F60" s="57">
        <v>159326.91</v>
      </c>
      <c r="G60" s="57">
        <v>121735.02</v>
      </c>
      <c r="H60" s="51">
        <f>14673.8+(7336.9*11)</f>
        <v>95379.7</v>
      </c>
      <c r="I60" s="52">
        <f>(SUM(D60:G60)/3)*((1+I3)*(1+I4))</f>
        <v>193352.24680365069</v>
      </c>
      <c r="J60" s="52">
        <f>(SUM(E60:H60)/3)*((1+J3)*(1+J4))</f>
        <v>180602.79197916668</v>
      </c>
      <c r="K60" s="52">
        <f>(SUM(F60:I60)/3)*((1+K3)*(1+K4))</f>
        <v>201006.66074825454</v>
      </c>
      <c r="L60" s="52">
        <f>(SUM(G60:J60)/3)*((1+L3)*(1+L4))</f>
        <v>210546.43645042431</v>
      </c>
      <c r="M60" s="52">
        <f t="shared" si="13"/>
        <v>785508.13598149619</v>
      </c>
    </row>
    <row r="61" spans="1:13" x14ac:dyDescent="0.15">
      <c r="A61" s="55" t="s">
        <v>537</v>
      </c>
      <c r="B61" s="34" t="s">
        <v>538</v>
      </c>
      <c r="C61" s="55"/>
      <c r="D61" s="52"/>
      <c r="E61" s="57"/>
      <c r="F61" s="57"/>
      <c r="G61" s="57"/>
      <c r="H61" s="51">
        <f>3465.4</f>
        <v>3465.4</v>
      </c>
      <c r="I61" s="52">
        <f>(SUM(D61:G61)/3)*((1+I3)*(1+I4))</f>
        <v>0</v>
      </c>
      <c r="J61" s="52">
        <f>(SUM(E61:H61)/3)*((1+J3)*(1+J4))</f>
        <v>1222.4920458333333</v>
      </c>
      <c r="K61" s="52">
        <f>(SUM(F61:I61)/3)*((1+K3)*(1+K4))</f>
        <v>1222.4920458333333</v>
      </c>
      <c r="L61" s="52">
        <f>(SUM(G61:J61)/3)*((1+L3)*(1+L4))</f>
        <v>1669.885745376406</v>
      </c>
      <c r="M61" s="52">
        <f t="shared" si="13"/>
        <v>4114.8698370430729</v>
      </c>
    </row>
    <row r="62" spans="1:13" x14ac:dyDescent="0.15">
      <c r="A62" s="180"/>
      <c r="B62" s="181"/>
      <c r="C62" s="181"/>
      <c r="D62" s="182"/>
      <c r="E62" s="182">
        <f>SUM(E46:E60)-3532232.1</f>
        <v>-211416.85999999987</v>
      </c>
      <c r="F62" s="182">
        <f>SUM(F46:F60)-4848896.64</f>
        <v>0</v>
      </c>
      <c r="G62" s="182">
        <f>SUM(G46:G60)-6625752.14</f>
        <v>0</v>
      </c>
      <c r="H62" s="182"/>
      <c r="I62" s="182">
        <f>(SUM(D62:G62)/3)*((1+I3)*(1+I4))</f>
        <v>-74717.706348954627</v>
      </c>
      <c r="J62" s="182">
        <f>(SUM(E62:H62)/3)*((1+J3)*(1+J4))</f>
        <v>-74581.701882916619</v>
      </c>
      <c r="K62" s="182">
        <f>(SUM(F62:I62)/3)*((1+K3)*(1+K4))</f>
        <v>-26358.227533476012</v>
      </c>
      <c r="L62" s="182">
        <f>(SUM(G62:J62)/3)*((1+L3)*(1+L4))</f>
        <v>-53182.315454795433</v>
      </c>
      <c r="M62" s="182">
        <f t="shared" si="13"/>
        <v>-228839.95122014271</v>
      </c>
    </row>
    <row r="63" spans="1:13" s="112" customFormat="1" x14ac:dyDescent="0.15">
      <c r="A63" s="109" t="s">
        <v>112</v>
      </c>
      <c r="B63" s="70"/>
      <c r="C63" s="70"/>
      <c r="D63" s="110"/>
      <c r="E63" s="70"/>
      <c r="F63" s="70"/>
      <c r="G63" s="70"/>
      <c r="H63" s="111"/>
      <c r="I63" s="110">
        <f>(SUM(D63:G63)/3)*((1+I3)*(1+I4))</f>
        <v>0</v>
      </c>
      <c r="J63" s="110">
        <f>(SUM(E63:H63)/3)*((1+J3)*(1+J4))</f>
        <v>0</v>
      </c>
      <c r="K63" s="110">
        <f>(SUM(F63:I63)/3)*((1+K3)*(1+K4))</f>
        <v>0</v>
      </c>
      <c r="L63" s="110">
        <f>(SUM(G63:J63)/3)*((1+L3)*(1+L4))</f>
        <v>0</v>
      </c>
      <c r="M63" s="110">
        <f t="shared" si="13"/>
        <v>0</v>
      </c>
    </row>
    <row r="64" spans="1:13" x14ac:dyDescent="0.15">
      <c r="A64" s="46" t="s">
        <v>539</v>
      </c>
      <c r="B64" s="55" t="s">
        <v>540</v>
      </c>
      <c r="C64" s="55"/>
      <c r="D64" s="52"/>
      <c r="E64" s="57">
        <v>45654.23</v>
      </c>
      <c r="F64" s="55"/>
      <c r="G64" s="55"/>
      <c r="H64" s="51"/>
      <c r="I64" s="52">
        <f>(SUM(D64:G64)/3)*((1+I3)*(1+I4))</f>
        <v>16134.850128450669</v>
      </c>
      <c r="J64" s="52">
        <f>(SUM(E64:H64)/3)*((1+J3)*(1+J4))</f>
        <v>16105.480762291667</v>
      </c>
      <c r="K64" s="52">
        <f>(SUM(F64:I64)/3)*((1+K3)*(1+K4))</f>
        <v>5691.9045255219835</v>
      </c>
      <c r="L64" s="52">
        <f>(SUM(G64:J64)/3)*((1+L3)*(1+L4))</f>
        <v>11484.408867418553</v>
      </c>
      <c r="M64" s="52">
        <f t="shared" si="13"/>
        <v>49416.644283682872</v>
      </c>
    </row>
    <row r="65" spans="1:13" x14ac:dyDescent="0.15">
      <c r="A65" s="46" t="s">
        <v>543</v>
      </c>
      <c r="B65" s="55" t="s">
        <v>110</v>
      </c>
      <c r="C65" s="55"/>
      <c r="D65" s="52">
        <v>310000</v>
      </c>
      <c r="E65" s="57">
        <v>275000</v>
      </c>
      <c r="F65" s="57">
        <v>485740</v>
      </c>
      <c r="G65" s="57">
        <v>365000</v>
      </c>
      <c r="H65" s="51"/>
      <c r="I65" s="52">
        <f>(SUM(D65:G65)/3)*((1+I3)*(1+I4))</f>
        <v>507410.80779200007</v>
      </c>
      <c r="J65" s="52">
        <f>(SUM(E65:H65)/3)*((1+J3)*(1+J4))</f>
        <v>397128.23791666667</v>
      </c>
      <c r="K65" s="52">
        <f>(SUM(F65:I65)/3)*((1+K3)*(1+K4))</f>
        <v>479115.9922571237</v>
      </c>
      <c r="L65" s="52">
        <f>(SUM(G65:J65)/3)*((1+L3)*(1+L4))</f>
        <v>452225.67731949838</v>
      </c>
      <c r="M65" s="52">
        <f t="shared" si="13"/>
        <v>1835880.7152852886</v>
      </c>
    </row>
    <row r="66" spans="1:13" s="74" customFormat="1" x14ac:dyDescent="0.15">
      <c r="B66" s="38" t="s">
        <v>114</v>
      </c>
      <c r="C66" s="73"/>
      <c r="D66" s="40"/>
      <c r="E66" s="75"/>
      <c r="F66" s="75"/>
      <c r="G66" s="75">
        <v>17375</v>
      </c>
      <c r="H66" s="45">
        <f>60000</f>
        <v>60000</v>
      </c>
      <c r="I66" s="40"/>
      <c r="J66" s="40"/>
      <c r="K66" s="40"/>
      <c r="L66" s="40"/>
      <c r="M66" s="40">
        <f t="shared" si="13"/>
        <v>0</v>
      </c>
    </row>
    <row r="67" spans="1:13" x14ac:dyDescent="0.15">
      <c r="A67" s="46" t="s">
        <v>541</v>
      </c>
      <c r="B67" s="34" t="s">
        <v>542</v>
      </c>
      <c r="C67" s="55"/>
      <c r="D67" s="52"/>
      <c r="E67" s="57">
        <v>250000</v>
      </c>
      <c r="F67" s="57">
        <v>190000</v>
      </c>
      <c r="G67" s="55"/>
      <c r="H67" s="58"/>
      <c r="I67" s="52">
        <f>(SUM(D67:G67)/3)*((1+I3)*(1+I4))</f>
        <v>155502.21866666668</v>
      </c>
      <c r="J67" s="52">
        <f>(SUM(E67:H67)/3)*((1+J3)*(1+J4))</f>
        <v>155219.16666666666</v>
      </c>
      <c r="K67" s="52">
        <f>(SUM(F67:I67)/3)*((1+K3)*(1+K4))</f>
        <v>121883.10559755555</v>
      </c>
      <c r="L67" s="52">
        <f>(SUM(G67:J67)/3)*((1+L3)*(1+L4))</f>
        <v>110682.84147304999</v>
      </c>
      <c r="M67" s="52">
        <f t="shared" si="13"/>
        <v>543287.33240393887</v>
      </c>
    </row>
    <row r="68" spans="1:13" x14ac:dyDescent="0.15">
      <c r="D68" s="53">
        <f>SUM(D46:D67)-3369758.43</f>
        <v>0</v>
      </c>
      <c r="E68" s="53">
        <f>SUM(E63:E67)-570654.23</f>
        <v>0</v>
      </c>
      <c r="F68" s="53">
        <f>SUM(F63:F67)-675740</f>
        <v>0</v>
      </c>
      <c r="G68" s="53">
        <f>SUM(G63:G67)-382375</f>
        <v>0</v>
      </c>
      <c r="H68" s="54"/>
      <c r="M68" s="52">
        <f t="shared" si="13"/>
        <v>0</v>
      </c>
    </row>
    <row r="69" spans="1:13" x14ac:dyDescent="0.15">
      <c r="A69" s="55" t="s">
        <v>92</v>
      </c>
      <c r="B69" s="55"/>
      <c r="C69" s="55"/>
      <c r="D69" s="52"/>
      <c r="E69" s="52"/>
      <c r="F69" s="52"/>
      <c r="G69" s="52"/>
      <c r="H69" s="51"/>
      <c r="I69" s="52"/>
      <c r="J69" s="52"/>
      <c r="K69" s="52"/>
      <c r="L69" s="52"/>
      <c r="M69" s="52">
        <f t="shared" ref="M69:M150" si="14">SUM(I69:L69)</f>
        <v>0</v>
      </c>
    </row>
    <row r="70" spans="1:13" x14ac:dyDescent="0.15">
      <c r="A70" s="59" t="s">
        <v>93</v>
      </c>
      <c r="B70" s="55"/>
      <c r="C70" s="55"/>
      <c r="D70" s="52">
        <f>1017.6*10</f>
        <v>10176</v>
      </c>
      <c r="E70" s="52">
        <f>915.2 *10</f>
        <v>9152</v>
      </c>
      <c r="F70" s="52">
        <f>761.6*10</f>
        <v>7616</v>
      </c>
      <c r="G70" s="52">
        <f>714+809.2+761.6*8</f>
        <v>7616</v>
      </c>
      <c r="H70" s="51">
        <f>499.2*10</f>
        <v>4992</v>
      </c>
      <c r="I70" s="52">
        <f>(SUM(D70:G70)/3)*((1+I3)*(1+I4))</f>
        <v>12213.992448000001</v>
      </c>
      <c r="J70" s="52">
        <f>(SUM(E70:H70)/3)*((1+J3)*(1+J4))</f>
        <v>10362.995999999999</v>
      </c>
      <c r="K70" s="52">
        <f>(SUM(F70:I70)/3)*((1+K3)*(1+K4))</f>
        <v>11443.177627541334</v>
      </c>
      <c r="L70" s="52">
        <f>(SUM(G70:J70)/3)*((1+L3)*(1+L4))</f>
        <v>12533.3326975332</v>
      </c>
      <c r="M70" s="52">
        <f t="shared" si="14"/>
        <v>46553.498773074534</v>
      </c>
    </row>
    <row r="71" spans="1:13" x14ac:dyDescent="0.15">
      <c r="A71" s="55" t="s">
        <v>94</v>
      </c>
      <c r="B71" s="55"/>
      <c r="C71" s="55"/>
      <c r="D71" s="52">
        <f>9972.4*10</f>
        <v>99724</v>
      </c>
      <c r="E71" s="52">
        <f>9844*10-3973.2</f>
        <v>94466.8</v>
      </c>
      <c r="F71" s="52">
        <f>10314.8*10</f>
        <v>103148</v>
      </c>
      <c r="G71" s="52">
        <f>11240+12026.8*9</f>
        <v>119481.2</v>
      </c>
      <c r="H71" s="51">
        <f>12882.8*10</f>
        <v>128828</v>
      </c>
      <c r="I71" s="52">
        <f>(SUM(D71:G71)/3)*((1+I3)*(1+I4))</f>
        <v>147310.07905600002</v>
      </c>
      <c r="J71" s="52">
        <f>(SUM(E71:H71)/3)*((1+J3)*(1+J4))</f>
        <v>157308.98108333335</v>
      </c>
      <c r="K71" s="52">
        <f>(SUM(F71:I71)/3)*((1+K3)*(1+K4))</f>
        <v>175950.54867198435</v>
      </c>
      <c r="L71" s="52">
        <f>(SUM(G71:J71)/3)*((1+L3)*(1+L4))</f>
        <v>196959.95786488231</v>
      </c>
      <c r="M71" s="52">
        <f t="shared" si="14"/>
        <v>677529.56667620002</v>
      </c>
    </row>
    <row r="72" spans="1:13" x14ac:dyDescent="0.15">
      <c r="A72" s="55" t="s">
        <v>95</v>
      </c>
      <c r="B72" s="55"/>
      <c r="C72" s="55"/>
      <c r="D72" s="52">
        <f>9751*10</f>
        <v>97510</v>
      </c>
      <c r="E72" s="52">
        <f>7702*10</f>
        <v>77020</v>
      </c>
      <c r="F72" s="52">
        <f>7918.2*10</f>
        <v>79182</v>
      </c>
      <c r="G72" s="52">
        <f>6750+12813.6+10216.8+12026.8*7</f>
        <v>113967.99999999999</v>
      </c>
      <c r="H72" s="51">
        <f>9008*10</f>
        <v>90080</v>
      </c>
      <c r="I72" s="52">
        <f>(SUM(D72:G72)/3)*((1+I3)*(1+I4))</f>
        <v>129943.30854400001</v>
      </c>
      <c r="J72" s="52">
        <f>(SUM(E72:H72)/3)*((1+J3)*(1+J4))</f>
        <v>127085.69270833333</v>
      </c>
      <c r="K72" s="52">
        <f>(SUM(F72:I72)/3)*((1+K3)*(1+K4))</f>
        <v>145755.49236615736</v>
      </c>
      <c r="L72" s="52">
        <f>(SUM(G72:J72)/3)*((1+L3)*(1+L4))</f>
        <v>164241.39130859679</v>
      </c>
      <c r="M72" s="52">
        <f t="shared" si="14"/>
        <v>567025.88492708746</v>
      </c>
    </row>
    <row r="73" spans="1:13" x14ac:dyDescent="0.15">
      <c r="A73" s="55" t="s">
        <v>96</v>
      </c>
      <c r="B73" s="55"/>
      <c r="C73" s="55"/>
      <c r="D73" s="52">
        <f>15811.2*2+15897.6+15840*7-2286.2</f>
        <v>156113.79999999999</v>
      </c>
      <c r="E73" s="52">
        <f>15991.2*10</f>
        <v>159912</v>
      </c>
      <c r="F73" s="52">
        <f>20103.4*10</f>
        <v>201034</v>
      </c>
      <c r="G73" s="52">
        <f>13488+35866.4+24677.2*8</f>
        <v>246772</v>
      </c>
      <c r="H73" s="51">
        <f>19151.8*10</f>
        <v>191518</v>
      </c>
      <c r="I73" s="52">
        <f>(SUM(D73:G73)/3)*((1+I3)*(1+I4))</f>
        <v>269948.95360944007</v>
      </c>
      <c r="J73" s="52">
        <f>(SUM(E73:H73)/3)*((1+J3)*(1+J4))</f>
        <v>281947.14974999998</v>
      </c>
      <c r="K73" s="52">
        <f>(SUM(F73:I73)/3)*((1+K3)*(1+K4))</f>
        <v>320764.97757226345</v>
      </c>
      <c r="L73" s="52">
        <f>(SUM(G73:J73)/3)*((1+L3)*(1+L4))</f>
        <v>352716.66734292451</v>
      </c>
      <c r="M73" s="52">
        <f t="shared" si="14"/>
        <v>1225377.7482746281</v>
      </c>
    </row>
    <row r="74" spans="1:13" x14ac:dyDescent="0.15">
      <c r="A74" s="55" t="s">
        <v>97</v>
      </c>
      <c r="B74" s="55"/>
      <c r="C74" s="55"/>
      <c r="D74" s="52">
        <f>1176.6*10</f>
        <v>11766</v>
      </c>
      <c r="E74" s="52">
        <f>1484*10</f>
        <v>14840</v>
      </c>
      <c r="F74" s="52">
        <f>1356.8*10</f>
        <v>13568</v>
      </c>
      <c r="G74" s="52">
        <f>1970+2206.4+2088.2*8</f>
        <v>20882</v>
      </c>
      <c r="H74" s="51">
        <f>1388.6*10</f>
        <v>13886</v>
      </c>
      <c r="I74" s="52">
        <f>(SUM(D74:G74)/3)*((1+I3)*(1+I4))</f>
        <v>21578.053324800003</v>
      </c>
      <c r="J74" s="52">
        <f>(SUM(E74:H74)/3)*((1+J3)*(1+J4))</f>
        <v>22286.650166666666</v>
      </c>
      <c r="K74" s="52">
        <f>(SUM(F74:I74)/3)*((1+K3)*(1+K4))</f>
        <v>24663.638853100798</v>
      </c>
      <c r="L74" s="52">
        <f>(SUM(G74:J74)/3)*((1+L3)*(1+L4))</f>
        <v>28009.951892454072</v>
      </c>
      <c r="M74" s="52">
        <f t="shared" si="14"/>
        <v>96538.294237021546</v>
      </c>
    </row>
    <row r="75" spans="1:13" x14ac:dyDescent="0.15">
      <c r="A75" s="55" t="s">
        <v>98</v>
      </c>
      <c r="B75" s="55"/>
      <c r="C75" s="55"/>
      <c r="D75" s="52">
        <f>20874*6+17565.4</f>
        <v>142809.4</v>
      </c>
      <c r="E75" s="52">
        <f>15991.2*10</f>
        <v>159912</v>
      </c>
      <c r="F75" s="52">
        <f>4771.2*8</f>
        <v>38169.599999999999</v>
      </c>
      <c r="G75" s="52">
        <v>19690</v>
      </c>
      <c r="H75" s="51"/>
      <c r="I75" s="52">
        <f>(SUM(D75:G75)/3)*((1+I3)*(1+I4))</f>
        <v>127434.42161146669</v>
      </c>
      <c r="J75" s="52">
        <f>(SUM(E75:H75)/3)*((1+J3)*(1+J4))</f>
        <v>76823.468808333346</v>
      </c>
      <c r="K75" s="52">
        <f>(SUM(F75:I75)/3)*((1+K3)*(1+K4))</f>
        <v>65366.326415561773</v>
      </c>
      <c r="L75" s="52">
        <f>(SUM(G75:J75)/3)*((1+L3)*(1+L4))</f>
        <v>79773.037916162997</v>
      </c>
      <c r="M75" s="52">
        <f t="shared" si="14"/>
        <v>349397.25475152477</v>
      </c>
    </row>
    <row r="76" spans="1:13" x14ac:dyDescent="0.15">
      <c r="D76" s="53">
        <f>518099.2-SUM(D70:D75)</f>
        <v>0</v>
      </c>
      <c r="E76" s="53">
        <f>515302.8-SUM(E70:E75)</f>
        <v>0</v>
      </c>
      <c r="F76" s="53">
        <f>442717.6-SUM(F70:F75)</f>
        <v>0</v>
      </c>
      <c r="G76" s="53">
        <f>528409.2-SUM(G70:G75)</f>
        <v>0</v>
      </c>
      <c r="H76" s="60">
        <f>SUM(H70:H75)-429304</f>
        <v>0</v>
      </c>
      <c r="I76" s="53">
        <f>(SUM(D76:G76)/3)*((1+I3)*(1+I4))</f>
        <v>0</v>
      </c>
      <c r="J76" s="53">
        <f>(SUM(E76:H76)/3)*((1+J3)*(1+J4))</f>
        <v>0</v>
      </c>
      <c r="K76" s="53">
        <f>(SUM(F76:I76)/3)*((1+K3)*(1+K4))</f>
        <v>0</v>
      </c>
      <c r="L76" s="53">
        <f>(SUM(G76:J76)/3)*((1+L3)*(1+L4))</f>
        <v>0</v>
      </c>
      <c r="M76" s="61">
        <f t="shared" si="14"/>
        <v>0</v>
      </c>
    </row>
    <row r="77" spans="1:13" x14ac:dyDescent="0.15">
      <c r="A77" s="55" t="s">
        <v>101</v>
      </c>
      <c r="B77" s="55"/>
      <c r="C77" s="55"/>
      <c r="D77" s="52"/>
      <c r="E77" s="52"/>
      <c r="F77" s="52">
        <f>217499.65-SUM(F78:F80)</f>
        <v>0</v>
      </c>
      <c r="G77" s="52"/>
      <c r="H77" s="51"/>
      <c r="I77" s="52"/>
      <c r="J77" s="52"/>
      <c r="K77" s="52"/>
      <c r="L77" s="52"/>
      <c r="M77" s="52">
        <f t="shared" si="14"/>
        <v>0</v>
      </c>
    </row>
    <row r="78" spans="1:13" x14ac:dyDescent="0.15">
      <c r="A78" s="55" t="s">
        <v>102</v>
      </c>
      <c r="B78" s="55"/>
      <c r="C78" s="55"/>
      <c r="D78" s="52">
        <f>3279.1+3279.1+3279.1+3279.1+3279.1+3279.1+3279.14+3279.1+3279.1+3279.1</f>
        <v>32791.039999999994</v>
      </c>
      <c r="E78" s="52">
        <f>3548.09+4257.71*9</f>
        <v>41867.479999999996</v>
      </c>
      <c r="F78" s="52">
        <f>5010.95*9+5010.91</f>
        <v>50109.459999999992</v>
      </c>
      <c r="G78" s="52"/>
      <c r="H78" s="51"/>
      <c r="I78" s="52"/>
      <c r="J78" s="52"/>
      <c r="K78" s="52"/>
      <c r="L78" s="52"/>
      <c r="M78" s="52">
        <f t="shared" si="14"/>
        <v>0</v>
      </c>
    </row>
    <row r="79" spans="1:13" x14ac:dyDescent="0.15">
      <c r="A79" s="55" t="s">
        <v>103</v>
      </c>
      <c r="B79" s="55"/>
      <c r="C79" s="55"/>
      <c r="D79" s="52">
        <f>13206.08+13206.08+13206.08+13206.08+13206.08+13206.08+13206.08+13206.07+13206.08+13206.08</f>
        <v>132060.79</v>
      </c>
      <c r="E79" s="52">
        <f>12898.66+15478.39*8+15478.43</f>
        <v>152204.21</v>
      </c>
      <c r="F79" s="52">
        <f>15278.78*9+15278.72</f>
        <v>152787.74000000002</v>
      </c>
      <c r="G79" s="52">
        <f>22380.18*9+22380.14+5923.22</f>
        <v>229724.98</v>
      </c>
      <c r="H79" s="51">
        <f>21565.51*10</f>
        <v>215655.09999999998</v>
      </c>
      <c r="I79" s="52">
        <f>(SUM(D79:G79)/3)*((1+I3)*(1+I4))</f>
        <v>235648.67003977601</v>
      </c>
      <c r="J79" s="52">
        <f>(SUM(E79:H79)/3)*((1+J3)*(1+J4))</f>
        <v>264709.36633312498</v>
      </c>
      <c r="K79" s="52">
        <f>(SUM(F79:I79)/3)*((1+K3)*(1+K4))</f>
        <v>294146.13803840679</v>
      </c>
      <c r="L79" s="52">
        <f>(SUM(G79:J79)/3)*((1+L3)*(1+L4))</f>
        <v>336883.73877848202</v>
      </c>
      <c r="M79" s="52">
        <f t="shared" si="14"/>
        <v>1131387.9131897897</v>
      </c>
    </row>
    <row r="80" spans="1:13" x14ac:dyDescent="0.15">
      <c r="A80" s="55" t="s">
        <v>104</v>
      </c>
      <c r="B80" s="55"/>
      <c r="C80" s="55"/>
      <c r="D80" s="52">
        <f>1178.43+1178.43+1178.43+1178.43+1178.43+1178.43+1178.41+1178.43+1178.43+1178.43</f>
        <v>11784.280000000002</v>
      </c>
      <c r="E80" s="52">
        <f>922.26+1106.7*9</f>
        <v>10882.560000000001</v>
      </c>
      <c r="F80" s="52">
        <f>1460.25*9+1460.2</f>
        <v>14602.45</v>
      </c>
      <c r="G80" s="52"/>
      <c r="H80" s="51"/>
      <c r="I80" s="52">
        <f>(SUM(D80:G80)/3)*((1+I3)*(1+I4))</f>
        <v>13171.493825298672</v>
      </c>
      <c r="J80" s="52">
        <f>(SUM(E80:H80)/3)*((1+J3)*(1+J4))</f>
        <v>8990.3682152083347</v>
      </c>
      <c r="K80" s="52">
        <f>(SUM(F80:I80)/3)*((1+K3)*(1+K4))</f>
        <v>9797.8373082037997</v>
      </c>
      <c r="L80" s="52">
        <f>(SUM(G80:J80)/3)*((1+L3)*(1+L4))</f>
        <v>7894.332282104102</v>
      </c>
      <c r="M80" s="52">
        <f t="shared" si="14"/>
        <v>39854.031630814905</v>
      </c>
    </row>
    <row r="81" spans="1:13" x14ac:dyDescent="0.15">
      <c r="D81" s="53">
        <f>176636.11-SUM(D78:D80)</f>
        <v>0</v>
      </c>
      <c r="E81" s="53">
        <f>204954.25-SUM(E78:E80)</f>
        <v>0</v>
      </c>
      <c r="F81" s="53">
        <f>SUM(F78:F80)-217499.65</f>
        <v>0</v>
      </c>
      <c r="G81" s="53">
        <f>229724.98-G79</f>
        <v>0</v>
      </c>
      <c r="H81" s="60"/>
      <c r="I81" s="53"/>
      <c r="J81" s="53"/>
      <c r="K81" s="53"/>
      <c r="L81" s="53"/>
      <c r="M81" s="62">
        <f t="shared" si="14"/>
        <v>0</v>
      </c>
    </row>
    <row r="82" spans="1:13" x14ac:dyDescent="0.15">
      <c r="A82" s="55" t="s">
        <v>158</v>
      </c>
      <c r="B82" s="55"/>
      <c r="C82" s="55"/>
      <c r="D82" s="52">
        <f>88298.51+171783.28+100376.57+96606.38+98584.91+97387.77+100405.01+97230.99+99343.69+98770.39+98543.13+98778.12</f>
        <v>1246108.75</v>
      </c>
      <c r="E82" s="52">
        <f>99073.04+179182.09+104550.8+100742.78+100197.09+101700.03+101250.25+100516.63+100898.82+103029.05+159393.48+106341.39</f>
        <v>1356875.45</v>
      </c>
      <c r="F82" s="52">
        <f>154436.05+145761.63+114295.84+112982.65+111412.86+130560.4+100414.32+102712.17+102720.92+98031.28+99174.36+103613.78</f>
        <v>1376116.2600000002</v>
      </c>
      <c r="G82" s="52">
        <f>172890.69+126580.32+111120.01+104109.24+99190.74+103895.63+94004.33+103761.58+100055.22+102910.67+105009.94+116229.55</f>
        <v>1339757.92</v>
      </c>
      <c r="H82" s="51">
        <f>((164379.19+131910.06+125775.58+116343.06)/4)*12</f>
        <v>1615223.67</v>
      </c>
      <c r="I82" s="52">
        <f>(SUM(D82:G82)/3)*((1+I3)*(1+I4))</f>
        <v>1879759.724690438</v>
      </c>
      <c r="J82" s="52">
        <f>(SUM(E82:H82)/3)*((1+J3)*(1+J4))</f>
        <v>2006551.0810187499</v>
      </c>
      <c r="K82" s="52">
        <f>(SUM(F82:I82)/3)*((1+K3)*(1+K4))</f>
        <v>2191009.4023381914</v>
      </c>
      <c r="L82" s="52">
        <f>(SUM(G82:J82)/3)*((1+L3)*(1+L4))</f>
        <v>2436953.8675065585</v>
      </c>
      <c r="M82" s="52">
        <f>SUM(I82:L82)</f>
        <v>8514274.0755539369</v>
      </c>
    </row>
    <row r="84" spans="1:13" x14ac:dyDescent="0.15">
      <c r="A84" s="46" t="s">
        <v>99</v>
      </c>
      <c r="D84" s="53"/>
      <c r="E84" s="53"/>
      <c r="F84" s="53"/>
      <c r="G84" s="53"/>
      <c r="H84" s="60"/>
      <c r="I84" s="53">
        <f>(SUM(D84:G84)/3)*((1+I3)*(1+I4))</f>
        <v>0</v>
      </c>
      <c r="J84" s="53">
        <f>(SUM(E84:H84)/3)*((1+J3)*(1+J4))</f>
        <v>0</v>
      </c>
      <c r="K84" s="53">
        <f>(SUM(F84:I84)/3)*((1+K3)*(1+K4))</f>
        <v>0</v>
      </c>
      <c r="L84" s="53">
        <f>(SUM(G84:J84)/3)*((1+L3)*(1+L4))</f>
        <v>0</v>
      </c>
      <c r="M84" s="64">
        <f t="shared" si="14"/>
        <v>0</v>
      </c>
    </row>
    <row r="85" spans="1:13" x14ac:dyDescent="0.15">
      <c r="A85" s="55" t="s">
        <v>100</v>
      </c>
      <c r="B85" s="55"/>
      <c r="C85" s="65">
        <f>12618.22-D85</f>
        <v>0</v>
      </c>
      <c r="D85" s="52">
        <f>1923.15+10695.07</f>
        <v>12618.22</v>
      </c>
      <c r="E85" s="52"/>
      <c r="F85" s="52"/>
      <c r="G85" s="52">
        <v>3392.67</v>
      </c>
      <c r="H85" s="51"/>
      <c r="I85" s="52"/>
      <c r="J85" s="52"/>
      <c r="K85" s="52"/>
      <c r="L85" s="52"/>
      <c r="M85" s="52">
        <f>SUM(I85:L85)</f>
        <v>0</v>
      </c>
    </row>
    <row r="86" spans="1:13" x14ac:dyDescent="0.15">
      <c r="A86" s="55" t="s">
        <v>105</v>
      </c>
      <c r="B86" s="55"/>
      <c r="C86" s="55"/>
      <c r="D86" s="52"/>
      <c r="E86" s="52">
        <f>126850.11</f>
        <v>126850.11</v>
      </c>
      <c r="F86" s="52"/>
      <c r="G86" s="52"/>
      <c r="H86" s="51"/>
      <c r="I86" s="52"/>
      <c r="J86" s="52"/>
      <c r="K86" s="52"/>
      <c r="L86" s="52"/>
      <c r="M86" s="52">
        <f t="shared" si="14"/>
        <v>0</v>
      </c>
    </row>
    <row r="87" spans="1:13" x14ac:dyDescent="0.15">
      <c r="D87" s="53"/>
      <c r="E87" s="53"/>
      <c r="F87" s="53"/>
      <c r="G87" s="53"/>
      <c r="H87" s="60"/>
      <c r="I87" s="53"/>
      <c r="J87" s="53"/>
      <c r="K87" s="53"/>
      <c r="L87" s="53"/>
      <c r="M87" s="62">
        <f t="shared" si="14"/>
        <v>0</v>
      </c>
    </row>
    <row r="88" spans="1:13" x14ac:dyDescent="0.15">
      <c r="A88" s="55" t="s">
        <v>113</v>
      </c>
      <c r="B88" s="55"/>
      <c r="C88" s="55"/>
      <c r="D88" s="55"/>
      <c r="E88" s="57">
        <v>211416.86</v>
      </c>
      <c r="F88" s="55"/>
      <c r="G88" s="55"/>
      <c r="H88" s="58"/>
      <c r="I88" s="52"/>
      <c r="J88" s="52"/>
      <c r="K88" s="52"/>
      <c r="L88" s="52"/>
      <c r="M88" s="52">
        <f t="shared" si="14"/>
        <v>0</v>
      </c>
    </row>
    <row r="89" spans="1:13" x14ac:dyDescent="0.15">
      <c r="D89" s="53"/>
      <c r="E89" s="53"/>
      <c r="F89" s="53"/>
      <c r="G89" s="53"/>
      <c r="H89" s="60"/>
      <c r="I89" s="53"/>
      <c r="J89" s="53"/>
      <c r="K89" s="53"/>
      <c r="L89" s="53"/>
      <c r="M89" s="52">
        <f t="shared" si="14"/>
        <v>0</v>
      </c>
    </row>
    <row r="90" spans="1:13" x14ac:dyDescent="0.15">
      <c r="A90" s="55"/>
      <c r="B90" s="55"/>
      <c r="C90" s="55"/>
      <c r="D90" s="52">
        <f>680027.26-SUM(D91:D112)</f>
        <v>0</v>
      </c>
      <c r="E90" s="52">
        <f>414905.88-SUM(E91:E112)</f>
        <v>0</v>
      </c>
      <c r="F90" s="52">
        <f>580629.36-SUM(F91:F112)</f>
        <v>0</v>
      </c>
      <c r="G90" s="52">
        <f>1263051.71-SUM(G91:G112)</f>
        <v>0</v>
      </c>
      <c r="H90" s="51">
        <f>SUM(H91:H112)-59766.57</f>
        <v>245253.39</v>
      </c>
      <c r="I90" s="52">
        <f>(SUM(D90:G90)/3)*((1+I3)*(1+I4))</f>
        <v>0</v>
      </c>
      <c r="J90" s="52">
        <f>(SUM(E90:H90)/3)*((1+J3)*(1+J4))</f>
        <v>86518.242768124997</v>
      </c>
      <c r="K90" s="52">
        <f>(SUM(F90:I90)/3)*((1+K3)*(1+K4))</f>
        <v>86518.242768124997</v>
      </c>
      <c r="L90" s="52">
        <f>(SUM(G90:J90)/3)*((1+L3)*(1+L4))</f>
        <v>118181.20273741573</v>
      </c>
      <c r="M90" s="52">
        <f t="shared" si="14"/>
        <v>291217.68827366573</v>
      </c>
    </row>
    <row r="91" spans="1:13" x14ac:dyDescent="0.15">
      <c r="A91" s="46" t="s">
        <v>553</v>
      </c>
      <c r="B91" s="55" t="s">
        <v>554</v>
      </c>
      <c r="C91" s="55"/>
      <c r="D91" s="52">
        <f>50400</f>
        <v>50400</v>
      </c>
      <c r="E91" s="52">
        <v>56250</v>
      </c>
      <c r="F91" s="52">
        <v>8400</v>
      </c>
      <c r="G91" s="52">
        <f>522350-SUM(G92:G95)</f>
        <v>0</v>
      </c>
      <c r="H91" s="51"/>
      <c r="I91" s="52">
        <f>(SUM(D91:G91)/3)*((1+I3)*(1+I4))</f>
        <v>40660.296040000008</v>
      </c>
      <c r="J91" s="52">
        <f>(SUM(E91:H91)/3)*((1+J3)*(1+J4))</f>
        <v>22806.634375000001</v>
      </c>
      <c r="K91" s="52">
        <f>(SUM(F91:I91)/3)*((1+K3)*(1+K4))</f>
        <v>17307.041517610836</v>
      </c>
      <c r="L91" s="52">
        <f>(SUM(G91:J91)/3)*((1+L3)*(1+L4))</f>
        <v>22607.713950453188</v>
      </c>
      <c r="M91" s="52">
        <f>SUM(I91:L91)</f>
        <v>103381.68588306403</v>
      </c>
    </row>
    <row r="92" spans="1:13" x14ac:dyDescent="0.15">
      <c r="B92" s="55" t="s">
        <v>150</v>
      </c>
      <c r="C92" s="55"/>
      <c r="D92" s="52"/>
      <c r="E92" s="52"/>
      <c r="F92" s="52"/>
      <c r="G92" s="52">
        <f>200000</f>
        <v>200000</v>
      </c>
      <c r="H92" s="51"/>
      <c r="I92" s="52">
        <f>(SUM(D92:G92)/3)*((1+I3)*(1+I4))</f>
        <v>70682.826666666675</v>
      </c>
      <c r="J92" s="52">
        <f>(SUM(E92:H92)/3)*((1+J3)*(1+J4))</f>
        <v>70554.166666666672</v>
      </c>
      <c r="K92" s="52">
        <f>(SUM(F92:I92)/3)*((1+K3)*(1+K4))</f>
        <v>95489.006332222227</v>
      </c>
      <c r="L92" s="52">
        <f>(SUM(G92:J92)/3)*((1+L3)*(1+L4))</f>
        <v>121552.88248775</v>
      </c>
      <c r="M92" s="52">
        <f t="shared" ref="M92:M95" si="15">SUM(I92:L92)</f>
        <v>358278.88215330557</v>
      </c>
    </row>
    <row r="93" spans="1:13" s="74" customFormat="1" x14ac:dyDescent="0.15">
      <c r="A93" s="73" t="s">
        <v>151</v>
      </c>
      <c r="B93" s="73"/>
      <c r="C93" s="73"/>
      <c r="D93" s="40"/>
      <c r="E93" s="40"/>
      <c r="F93" s="40"/>
      <c r="G93" s="40">
        <f>36750</f>
        <v>36750</v>
      </c>
      <c r="H93" s="45"/>
      <c r="I93" s="40"/>
      <c r="J93" s="40"/>
      <c r="K93" s="40"/>
      <c r="L93" s="40"/>
      <c r="M93" s="52">
        <f t="shared" si="15"/>
        <v>0</v>
      </c>
    </row>
    <row r="94" spans="1:13" s="74" customFormat="1" x14ac:dyDescent="0.15">
      <c r="A94" s="73" t="s">
        <v>152</v>
      </c>
      <c r="B94" s="73"/>
      <c r="C94" s="73"/>
      <c r="D94" s="40"/>
      <c r="E94" s="40"/>
      <c r="F94" s="40"/>
      <c r="G94" s="40">
        <f>55200</f>
        <v>55200</v>
      </c>
      <c r="H94" s="45"/>
      <c r="I94" s="40"/>
      <c r="J94" s="40"/>
      <c r="K94" s="40"/>
      <c r="L94" s="40"/>
      <c r="M94" s="52">
        <f t="shared" si="15"/>
        <v>0</v>
      </c>
    </row>
    <row r="95" spans="1:13" s="74" customFormat="1" x14ac:dyDescent="0.15">
      <c r="A95" s="73" t="s">
        <v>153</v>
      </c>
      <c r="B95" s="73"/>
      <c r="C95" s="73"/>
      <c r="D95" s="40"/>
      <c r="E95" s="40"/>
      <c r="F95" s="40"/>
      <c r="G95" s="40">
        <f>230400</f>
        <v>230400</v>
      </c>
      <c r="H95" s="45"/>
      <c r="I95" s="40"/>
      <c r="J95" s="40"/>
      <c r="K95" s="40"/>
      <c r="L95" s="40"/>
      <c r="M95" s="52">
        <f t="shared" si="15"/>
        <v>0</v>
      </c>
    </row>
    <row r="96" spans="1:13" x14ac:dyDescent="0.15">
      <c r="A96" s="70" t="s">
        <v>137</v>
      </c>
      <c r="B96" s="55"/>
      <c r="C96" s="55"/>
      <c r="D96" s="52">
        <f>163289.75-SUM(D98:D99)</f>
        <v>0</v>
      </c>
      <c r="E96" s="52">
        <f>144166-SUM(E98:E101)</f>
        <v>0</v>
      </c>
      <c r="F96" s="52">
        <f>114824.5-SUM(F98:F102)</f>
        <v>0</v>
      </c>
      <c r="G96" s="52">
        <f>295781.24-SUM(G97:G102)</f>
        <v>0</v>
      </c>
      <c r="H96" s="51">
        <f>100130.22-SUM(H97:H102)</f>
        <v>0</v>
      </c>
      <c r="I96" s="52">
        <f>(SUM(D96:G96)/3)*((1+I3)*(1+I4))</f>
        <v>0</v>
      </c>
      <c r="J96" s="52">
        <f>(SUM(E96:H96)/3)*((1+J3)*(1+J4))</f>
        <v>0</v>
      </c>
      <c r="K96" s="52">
        <f>(SUM(F96:I96)/3)*((1+K3)*(1+K4))</f>
        <v>0</v>
      </c>
      <c r="L96" s="52">
        <f>(SUM(G96:J96)/3)*((1+L3)*(1+L4))</f>
        <v>0</v>
      </c>
      <c r="M96" s="52">
        <f t="shared" si="14"/>
        <v>0</v>
      </c>
    </row>
    <row r="97" spans="1:13" s="74" customFormat="1" x14ac:dyDescent="0.15">
      <c r="A97" s="73" t="s">
        <v>154</v>
      </c>
      <c r="B97" s="73"/>
      <c r="C97" s="73"/>
      <c r="D97" s="40"/>
      <c r="E97" s="40"/>
      <c r="F97" s="40"/>
      <c r="G97" s="40">
        <f>141545.25</f>
        <v>141545.25</v>
      </c>
      <c r="H97" s="45"/>
      <c r="I97" s="40"/>
      <c r="J97" s="40"/>
      <c r="K97" s="40"/>
      <c r="L97" s="40"/>
      <c r="M97" s="40"/>
    </row>
    <row r="98" spans="1:13" x14ac:dyDescent="0.15">
      <c r="A98" s="46" t="s">
        <v>548</v>
      </c>
      <c r="B98" s="55" t="s">
        <v>138</v>
      </c>
      <c r="C98" s="55"/>
      <c r="D98" s="52">
        <v>97500</v>
      </c>
      <c r="E98" s="52">
        <f>52000</f>
        <v>52000</v>
      </c>
      <c r="F98" s="52">
        <f>32500</f>
        <v>32500</v>
      </c>
      <c r="G98" s="52">
        <f>53990.04</f>
        <v>53990.04</v>
      </c>
      <c r="H98" s="51">
        <f>5364.51*6</f>
        <v>32187.06</v>
      </c>
      <c r="I98" s="52">
        <f>(SUM(D98:G98)/3)*((1+I3)*(1+I4))</f>
        <v>83402.215461898682</v>
      </c>
      <c r="J98" s="52">
        <f>(SUM(E98:H98)/3)*((1+J3)*(1+J4))</f>
        <v>60209.902797916671</v>
      </c>
      <c r="K98" s="52">
        <f>(SUM(F98:I98)/3)*((1+K3)*(1+K4))</f>
        <v>71287.68851492356</v>
      </c>
      <c r="L98" s="52">
        <f>(SUM(G98:J98)/3)*((1+L3)*(1+L4))</f>
        <v>81853.791909374471</v>
      </c>
      <c r="M98" s="52">
        <f t="shared" si="14"/>
        <v>296753.59868411336</v>
      </c>
    </row>
    <row r="99" spans="1:13" x14ac:dyDescent="0.15">
      <c r="A99" s="46" t="s">
        <v>549</v>
      </c>
      <c r="B99" s="55" t="s">
        <v>139</v>
      </c>
      <c r="C99" s="55"/>
      <c r="D99" s="52">
        <v>65789.75</v>
      </c>
      <c r="E99" s="52">
        <f>40486</f>
        <v>40486</v>
      </c>
      <c r="F99" s="52">
        <f>30364.5</f>
        <v>30364.5</v>
      </c>
      <c r="G99" s="52">
        <f>36974.63</f>
        <v>36974.629999999997</v>
      </c>
      <c r="H99" s="51">
        <f>4176.69*6</f>
        <v>25060.14</v>
      </c>
      <c r="I99" s="52">
        <f>(SUM(D99:G99)/3)*((1+I3)*(1+I4))</f>
        <v>61357.952348970677</v>
      </c>
      <c r="J99" s="52">
        <f>(SUM(E99:H99)/3)*((1+J3)*(1+J4))</f>
        <v>46878.047435625005</v>
      </c>
      <c r="K99" s="52">
        <f>(SUM(F99:I99)/3)*((1+K3)*(1+K4))</f>
        <v>54241.063459065008</v>
      </c>
      <c r="L99" s="52">
        <f>(SUM(G99:J99)/3)*((1+L3)*(1+L4))</f>
        <v>60652.576581895286</v>
      </c>
      <c r="M99" s="52">
        <f t="shared" si="14"/>
        <v>223129.63982555599</v>
      </c>
    </row>
    <row r="100" spans="1:13" x14ac:dyDescent="0.15">
      <c r="A100" s="112" t="s">
        <v>555</v>
      </c>
      <c r="B100" s="55" t="s">
        <v>143</v>
      </c>
      <c r="C100" s="55"/>
      <c r="D100" s="52"/>
      <c r="E100" s="52">
        <v>40000</v>
      </c>
      <c r="F100" s="52">
        <f>30000</f>
        <v>30000</v>
      </c>
      <c r="G100" s="52">
        <f>36530.79</f>
        <v>36530.79</v>
      </c>
      <c r="H100" s="51">
        <f>4126.54*6</f>
        <v>24759.239999999998</v>
      </c>
      <c r="I100" s="52">
        <f>(SUM(D100:G100)/3)*((1+I3)*(1+I4))</f>
        <v>37649.486821165345</v>
      </c>
      <c r="J100" s="52">
        <f>(SUM(E100:H100)/3)*((1+J3)*(1+J4))</f>
        <v>46315.293291458329</v>
      </c>
      <c r="K100" s="52">
        <f>(SUM(F100:I100)/3)*((1+K3)*(1+K4))</f>
        <v>45486.100798599844</v>
      </c>
      <c r="L100" s="52">
        <f>(SUM(G100:J100)/3)*((1+L3)*(1+L4))</f>
        <v>51741.579047242958</v>
      </c>
      <c r="M100" s="52">
        <f t="shared" si="14"/>
        <v>181192.45995846647</v>
      </c>
    </row>
    <row r="101" spans="1:13" x14ac:dyDescent="0.15">
      <c r="A101" s="46" t="s">
        <v>550</v>
      </c>
      <c r="B101" s="55" t="s">
        <v>142</v>
      </c>
      <c r="C101" s="55"/>
      <c r="D101" s="52"/>
      <c r="E101" s="52">
        <v>11680</v>
      </c>
      <c r="F101" s="52">
        <f>8760</f>
        <v>8760</v>
      </c>
      <c r="G101" s="52">
        <f>10666.98</f>
        <v>10666.98</v>
      </c>
      <c r="H101" s="51">
        <f>1204.95*6</f>
        <v>7229.7000000000007</v>
      </c>
      <c r="I101" s="52">
        <f>(SUM(D101:G101)/3)*((1+I3)*(1+I4))</f>
        <v>10993.646377317335</v>
      </c>
      <c r="J101" s="52">
        <f>(SUM(E101:H101)/3)*((1+J3)*(1+J4))</f>
        <v>13524.062550833334</v>
      </c>
      <c r="K101" s="52">
        <f>(SUM(F101:I101)/3)*((1+K3)*(1+K4))</f>
        <v>13281.937011398219</v>
      </c>
      <c r="L101" s="52">
        <f>(SUM(G101:J101)/3)*((1+L3)*(1+L4))</f>
        <v>15108.53551606887</v>
      </c>
      <c r="M101" s="52">
        <f t="shared" si="14"/>
        <v>52908.181455617763</v>
      </c>
    </row>
    <row r="102" spans="1:13" x14ac:dyDescent="0.15">
      <c r="B102" s="55" t="s">
        <v>149</v>
      </c>
      <c r="C102" s="55"/>
      <c r="D102" s="52"/>
      <c r="E102" s="52"/>
      <c r="F102" s="52">
        <f>13200</f>
        <v>13200</v>
      </c>
      <c r="G102" s="52">
        <f>16073.55</f>
        <v>16073.55</v>
      </c>
      <c r="H102" s="51">
        <f>1815.68*6</f>
        <v>10894.08</v>
      </c>
      <c r="I102" s="52">
        <f>(SUM(D102:G102)/3)*((1+I3)*(1+I4))</f>
        <v>10345.686302840002</v>
      </c>
      <c r="J102" s="52">
        <f>(SUM(E102:H102)/3)*((1+J3)*(1+J4))</f>
        <v>14169.968308124999</v>
      </c>
      <c r="K102" s="52">
        <f>(SUM(F102:I102)/3)*((1+K3)*(1+K4))</f>
        <v>17819.62468658312</v>
      </c>
      <c r="L102" s="52">
        <f>(SUM(G102:J102)/3)*((1+L3)*(1+L4))</f>
        <v>18338.98951948337</v>
      </c>
      <c r="M102" s="52">
        <f t="shared" si="14"/>
        <v>60674.268817031494</v>
      </c>
    </row>
    <row r="103" spans="1:13" x14ac:dyDescent="0.15">
      <c r="B103" s="70" t="s">
        <v>140</v>
      </c>
      <c r="C103" s="55"/>
      <c r="D103" s="52">
        <f>77520-SUM(D104:D105)</f>
        <v>0</v>
      </c>
      <c r="E103" s="52"/>
      <c r="F103" s="52"/>
      <c r="G103" s="52"/>
      <c r="H103" s="51"/>
      <c r="I103" s="52"/>
      <c r="J103" s="52"/>
      <c r="K103" s="52"/>
      <c r="L103" s="52"/>
      <c r="M103" s="52">
        <f t="shared" si="14"/>
        <v>0</v>
      </c>
    </row>
    <row r="104" spans="1:13" x14ac:dyDescent="0.15">
      <c r="A104" s="112" t="s">
        <v>555</v>
      </c>
      <c r="B104" s="55" t="s">
        <v>143</v>
      </c>
      <c r="C104" s="55"/>
      <c r="D104" s="52">
        <v>60000</v>
      </c>
      <c r="E104" s="52"/>
      <c r="F104" s="52"/>
      <c r="G104" s="52"/>
      <c r="H104" s="51"/>
      <c r="I104" s="52"/>
      <c r="J104" s="52"/>
      <c r="K104" s="52"/>
      <c r="L104" s="52"/>
      <c r="M104" s="52">
        <f t="shared" si="14"/>
        <v>0</v>
      </c>
    </row>
    <row r="105" spans="1:13" x14ac:dyDescent="0.15">
      <c r="A105" s="46" t="s">
        <v>551</v>
      </c>
      <c r="B105" s="55" t="s">
        <v>142</v>
      </c>
      <c r="C105" s="55"/>
      <c r="D105" s="52">
        <v>17520</v>
      </c>
      <c r="E105" s="52"/>
      <c r="F105" s="52"/>
      <c r="G105" s="52"/>
      <c r="H105" s="51"/>
      <c r="I105" s="52"/>
      <c r="J105" s="52"/>
      <c r="K105" s="52"/>
      <c r="L105" s="52"/>
      <c r="M105" s="52">
        <f t="shared" si="14"/>
        <v>0</v>
      </c>
    </row>
    <row r="106" spans="1:13" x14ac:dyDescent="0.15">
      <c r="B106" s="55" t="s">
        <v>141</v>
      </c>
      <c r="C106" s="55"/>
      <c r="D106" s="52">
        <f>263717.91-SUM(D108:D110)</f>
        <v>0</v>
      </c>
      <c r="E106" s="52">
        <f>124545.45-SUM(E108:E110)</f>
        <v>84566.739999999991</v>
      </c>
      <c r="F106" s="52">
        <f>332490.17-SUM(F108:F110)</f>
        <v>0</v>
      </c>
      <c r="G106" s="52">
        <f>337684.28-SUM(G107:G110)</f>
        <v>0</v>
      </c>
      <c r="H106" s="51">
        <f>SUM(H107:H110)-97730.82</f>
        <v>0</v>
      </c>
      <c r="I106" s="52">
        <f>(SUM(D106:G106)/3)*((1+I3)*(1+I4))</f>
        <v>29887.081125925335</v>
      </c>
      <c r="J106" s="52">
        <f>(SUM(E106:H106)/3)*((1+J3)*(1+J4))</f>
        <v>29832.679342083331</v>
      </c>
      <c r="K106" s="52">
        <f>(SUM(F106:I106)/3)*((1+K3)*(1+K4))</f>
        <v>10543.290514693617</v>
      </c>
      <c r="L106" s="52">
        <f>(SUM(G106:J106)/3)*((1+L3)*(1+L4))</f>
        <v>21272.925175710538</v>
      </c>
      <c r="M106" s="52">
        <f t="shared" si="14"/>
        <v>91535.976158412828</v>
      </c>
    </row>
    <row r="107" spans="1:13" s="74" customFormat="1" x14ac:dyDescent="0.15">
      <c r="A107" s="73" t="s">
        <v>155</v>
      </c>
      <c r="B107" s="73"/>
      <c r="C107" s="73"/>
      <c r="D107" s="40"/>
      <c r="E107" s="40"/>
      <c r="F107" s="40"/>
      <c r="G107" s="40">
        <v>175832.24</v>
      </c>
      <c r="H107" s="45"/>
      <c r="I107" s="40"/>
      <c r="J107" s="40"/>
      <c r="K107" s="40"/>
      <c r="L107" s="40"/>
      <c r="M107" s="40"/>
    </row>
    <row r="108" spans="1:13" x14ac:dyDescent="0.15">
      <c r="A108" s="55"/>
      <c r="B108" s="55" t="s">
        <v>144</v>
      </c>
      <c r="C108" s="55"/>
      <c r="D108" s="52">
        <f>99917.91</f>
        <v>99917.91</v>
      </c>
      <c r="E108" s="52">
        <v>18078.71</v>
      </c>
      <c r="F108" s="52">
        <f>135090.17</f>
        <v>135090.17000000001</v>
      </c>
      <c r="G108" s="52">
        <f>72553.92</f>
        <v>72553.919999999998</v>
      </c>
      <c r="H108" s="51">
        <f>6431.58*6</f>
        <v>38589.479999999996</v>
      </c>
      <c r="I108" s="52">
        <f>(SUM(D108:G108)/3)*((1+I3)*(1+I4))</f>
        <v>115086.02930270135</v>
      </c>
      <c r="J108" s="52">
        <f>(SUM(E108:H108)/3)*((1+J3)*(1+J4))</f>
        <v>93241.663275833329</v>
      </c>
      <c r="K108" s="52">
        <f>(SUM(F108:I108)/3)*((1+K3)*(1+K4))</f>
        <v>127463.01614568004</v>
      </c>
      <c r="L108" s="52">
        <f>(SUM(G108:J108)/3)*((1+L3)*(1+L4))</f>
        <v>113799.59656513127</v>
      </c>
      <c r="M108" s="52">
        <f t="shared" si="14"/>
        <v>449590.30528934597</v>
      </c>
    </row>
    <row r="109" spans="1:13" x14ac:dyDescent="0.15">
      <c r="A109" s="55"/>
      <c r="B109" s="55" t="s">
        <v>145</v>
      </c>
      <c r="C109" s="55"/>
      <c r="D109" s="52">
        <f>63000</f>
        <v>63000</v>
      </c>
      <c r="E109" s="52">
        <f>13500</f>
        <v>13500</v>
      </c>
      <c r="F109" s="52">
        <f>63000</f>
        <v>63000</v>
      </c>
      <c r="G109" s="52">
        <f>31150.52</f>
        <v>31150.52</v>
      </c>
      <c r="H109" s="51">
        <f>3438.45*6</f>
        <v>20630.699999999997</v>
      </c>
      <c r="I109" s="52">
        <f>(SUM(D109:G109)/3)*((1+I3)*(1+I4))</f>
        <v>60310.305628682669</v>
      </c>
      <c r="J109" s="52">
        <f>(SUM(E109:H109)/3)*((1+J3)*(1+J4))</f>
        <v>45253.872880416668</v>
      </c>
      <c r="K109" s="52">
        <f>(SUM(F109:I109)/3)*((1+K3)*(1+K4))</f>
        <v>61767.183405635071</v>
      </c>
      <c r="L109" s="52">
        <f>(SUM(G109:J109)/3)*((1+L3)*(1+L4))</f>
        <v>56048.397766422539</v>
      </c>
      <c r="M109" s="52">
        <f t="shared" si="14"/>
        <v>223379.75968115695</v>
      </c>
    </row>
    <row r="110" spans="1:13" x14ac:dyDescent="0.15">
      <c r="A110" s="55"/>
      <c r="B110" s="55" t="s">
        <v>146</v>
      </c>
      <c r="C110" s="55"/>
      <c r="D110" s="52">
        <f>100800</f>
        <v>100800</v>
      </c>
      <c r="E110" s="52">
        <v>8400</v>
      </c>
      <c r="F110" s="52">
        <f>134400</f>
        <v>134400</v>
      </c>
      <c r="G110" s="52">
        <f>58147.6</f>
        <v>58147.6</v>
      </c>
      <c r="H110" s="51">
        <f>6418.44*6</f>
        <v>38510.639999999999</v>
      </c>
      <c r="I110" s="52">
        <f>(SUM(D110:G110)/3)*((1+I3)*(1+I4))</f>
        <v>106641.86653941334</v>
      </c>
      <c r="J110" s="52">
        <f>(SUM(E110:H110)/3)*((1+J3)*(1+J4))</f>
        <v>84473.882873333336</v>
      </c>
      <c r="K110" s="52">
        <f>(SUM(F110:I110)/3)*((1+K3)*(1+K4))</f>
        <v>119130.74800066429</v>
      </c>
      <c r="L110" s="52">
        <f>(SUM(G110:J110)/3)*((1+L3)*(1+L4))</f>
        <v>102508.69220368803</v>
      </c>
      <c r="M110" s="52">
        <f t="shared" si="14"/>
        <v>412755.18961709901</v>
      </c>
    </row>
    <row r="111" spans="1:13" x14ac:dyDescent="0.15">
      <c r="A111" s="55"/>
      <c r="B111" s="55" t="s">
        <v>147</v>
      </c>
      <c r="C111" s="55"/>
      <c r="D111" s="52">
        <v>38620.26</v>
      </c>
      <c r="E111" s="52"/>
      <c r="F111" s="52">
        <v>15275.54</v>
      </c>
      <c r="G111" s="52"/>
      <c r="H111" s="51"/>
      <c r="I111" s="52">
        <f>(SUM(D111:G111)/3)*((1+I3)*(1+I4))</f>
        <v>19047.537447306669</v>
      </c>
      <c r="J111" s="52">
        <f>(SUM(E111:H111)/3)*((1+J3)*(1+J4))</f>
        <v>5388.7649754166669</v>
      </c>
      <c r="K111" s="52">
        <f>(SUM(F111:I111)/3)*((1+K3)*(1+K4))</f>
        <v>12108.180633650913</v>
      </c>
      <c r="L111" s="52">
        <f>(SUM(G111:J111)/3)*((1+L3)*(1+L4))</f>
        <v>8704.5163767543363</v>
      </c>
      <c r="M111" s="52">
        <f t="shared" si="14"/>
        <v>45248.999433128585</v>
      </c>
    </row>
    <row r="112" spans="1:13" x14ac:dyDescent="0.15">
      <c r="A112" s="55" t="s">
        <v>552</v>
      </c>
      <c r="B112" s="55" t="s">
        <v>148</v>
      </c>
      <c r="C112" s="55"/>
      <c r="D112" s="52">
        <f>86479.34</f>
        <v>86479.34</v>
      </c>
      <c r="E112" s="52">
        <v>89944.43</v>
      </c>
      <c r="F112" s="52">
        <v>109639.15</v>
      </c>
      <c r="G112" s="52">
        <v>107236.19</v>
      </c>
      <c r="H112" s="51">
        <f>26789.73*4</f>
        <v>107158.92</v>
      </c>
      <c r="I112" s="52">
        <f>(SUM(D112:G112)/3)*((1+I3)*(1+I4))</f>
        <v>138997.46410142136</v>
      </c>
      <c r="J112" s="52">
        <f>(SUM(E112:H112)/3)*((1+J3)*(1+J4))</f>
        <v>146039.60745354166</v>
      </c>
      <c r="K112" s="52">
        <f>(SUM(F112:I112)/3)*((1+K3)*(1+K4))</f>
        <v>163344.08717102848</v>
      </c>
      <c r="L112" s="52">
        <f>(SUM(G112:J112)/3)*((1+L3)*(1+L4))</f>
        <v>177903.98597214726</v>
      </c>
      <c r="M112" s="52">
        <f t="shared" si="14"/>
        <v>626285.14469813881</v>
      </c>
    </row>
    <row r="113" spans="1:13" x14ac:dyDescent="0.15">
      <c r="D113" s="53"/>
      <c r="E113" s="53"/>
      <c r="F113" s="53"/>
      <c r="G113" s="53"/>
      <c r="H113" s="60"/>
      <c r="I113" s="53"/>
      <c r="J113" s="53"/>
      <c r="K113" s="53"/>
      <c r="L113" s="53"/>
      <c r="M113" s="52"/>
    </row>
    <row r="114" spans="1:13" x14ac:dyDescent="0.15">
      <c r="A114" s="34" t="s">
        <v>85</v>
      </c>
      <c r="B114" s="34" t="s">
        <v>9</v>
      </c>
      <c r="C114" s="34"/>
      <c r="D114" s="39">
        <f>18594260.26+4648613.54-48.48</f>
        <v>23242825.32</v>
      </c>
      <c r="E114" s="37">
        <f>20870163.84+5217540.99</f>
        <v>26087704.829999998</v>
      </c>
      <c r="F114" s="37">
        <f>23404980.28+5851245.13</f>
        <v>29256225.41</v>
      </c>
      <c r="G114" s="37">
        <f>23707317.27+5926829.37</f>
        <v>29634146.640000001</v>
      </c>
      <c r="H114" s="51">
        <f>24914396/0.8</f>
        <v>31142995</v>
      </c>
      <c r="I114" s="52">
        <f>(SUM(D114:G114)/3)*((1+I3)*(1+I4))</f>
        <v>38246796.359564438</v>
      </c>
      <c r="J114" s="52">
        <f>(SUM(E114:H114)/3)*((1+J3)*(1+J4))</f>
        <v>40964127.294667497</v>
      </c>
      <c r="K114" s="52">
        <f>(SUM(F114:I114)/3)*((1+K3)*(1+K4))</f>
        <v>45253500.146128215</v>
      </c>
      <c r="L114" s="52">
        <f>(SUM(G114:J114)/3)*((1+L3)*(1+L4))</f>
        <v>49865498.708621591</v>
      </c>
      <c r="M114" s="52">
        <f t="shared" si="14"/>
        <v>174329922.50898173</v>
      </c>
    </row>
    <row r="115" spans="1:13" x14ac:dyDescent="0.15">
      <c r="A115" s="34" t="s">
        <v>86</v>
      </c>
      <c r="B115" s="34" t="s">
        <v>10</v>
      </c>
      <c r="C115" s="34"/>
      <c r="D115" s="39">
        <f>1816467.75+454117.18</f>
        <v>2270584.9300000002</v>
      </c>
      <c r="E115" s="37">
        <f>2240722.56+560180.92</f>
        <v>2800903.48</v>
      </c>
      <c r="F115" s="37">
        <f>2340636.63+585158.55</f>
        <v>2925795.1799999997</v>
      </c>
      <c r="G115" s="37">
        <f>2436780.16+609195.4</f>
        <v>3045975.56</v>
      </c>
      <c r="H115" s="51">
        <f>2458224/0.8</f>
        <v>3072780</v>
      </c>
      <c r="I115" s="52">
        <f>(SUM(D115:G115)/3)*((1+I3)*(1+I4))</f>
        <v>3902843.8616726538</v>
      </c>
      <c r="J115" s="52">
        <f>(SUM(E115:H115)/3)*((1+J3)*(1+J4))</f>
        <v>4178730.7564012501</v>
      </c>
      <c r="K115" s="52">
        <f>(SUM(F115:I115)/3)*((1+K3)*(1+K4))</f>
        <v>4567463.1831275634</v>
      </c>
      <c r="L115" s="52">
        <f>(SUM(G115:J115)/3)*((1+L3)*(1+L4))</f>
        <v>5058335.1135571497</v>
      </c>
      <c r="M115" s="52">
        <f t="shared" si="14"/>
        <v>17707372.914758615</v>
      </c>
    </row>
    <row r="116" spans="1:13" x14ac:dyDescent="0.15">
      <c r="A116" s="34" t="s">
        <v>87</v>
      </c>
      <c r="B116" s="34" t="s">
        <v>11</v>
      </c>
      <c r="C116" s="34"/>
      <c r="D116" s="39">
        <f>280968.44+70242.15</f>
        <v>351210.58999999997</v>
      </c>
      <c r="E116" s="37">
        <f>305068.75+76267.24</f>
        <v>381335.99</v>
      </c>
      <c r="F116" s="37">
        <f>346620.29+86655.11</f>
        <v>433275.39999999997</v>
      </c>
      <c r="G116" s="37">
        <f>337653.64+84413.43</f>
        <v>422067.07</v>
      </c>
      <c r="H116" s="51">
        <f>340780/0.8</f>
        <v>425975</v>
      </c>
      <c r="I116" s="52">
        <f>(SUM(D116:G116)/3)*((1+I3)*(1+I4))</f>
        <v>561182.43243524001</v>
      </c>
      <c r="J116" s="52">
        <f>(SUM(E116:H116)/3)*((1+J3)*(1+J4))</f>
        <v>586535.64662874991</v>
      </c>
      <c r="K116" s="52">
        <f>(SUM(F116:I116)/3)*((1+K3)*(1+K4))</f>
        <v>649980.22599866497</v>
      </c>
      <c r="L116" s="52">
        <f>(SUM(G116:J116)/3)*((1+L3)*(1+L4))</f>
        <v>710914.71209845645</v>
      </c>
      <c r="M116" s="52">
        <f t="shared" si="14"/>
        <v>2508613.0171611113</v>
      </c>
    </row>
    <row r="117" spans="1:13" x14ac:dyDescent="0.15">
      <c r="A117" s="34" t="s">
        <v>88</v>
      </c>
      <c r="B117" s="34" t="s">
        <v>25</v>
      </c>
      <c r="C117" s="34"/>
      <c r="D117" s="37">
        <v>15822775.539999999</v>
      </c>
      <c r="E117" s="37">
        <f>17827106.63</f>
        <v>17827106.629999999</v>
      </c>
      <c r="F117" s="37">
        <f>18421204.78</f>
        <v>18421204.780000001</v>
      </c>
      <c r="G117" s="37">
        <f>20113480.93</f>
        <v>20113480.93</v>
      </c>
      <c r="H117" s="51">
        <v>22695970</v>
      </c>
      <c r="I117" s="52">
        <f>(SUM(D117:G117)/3)*((1+I3)*(1+I4))</f>
        <v>25511046.497351371</v>
      </c>
      <c r="J117" s="52">
        <f>(SUM(E117:H117)/3)*((1+J3)*(1+J4))</f>
        <v>27889272.702150419</v>
      </c>
      <c r="K117" s="52">
        <f>(SUM(F117:I117)/3)*((1+K3)*(1+K4))</f>
        <v>30599942.572439183</v>
      </c>
      <c r="L117" s="52">
        <f>(SUM(G117:J117)/3)*((1+L3)*(1+L4))</f>
        <v>34271122.742255151</v>
      </c>
      <c r="M117" s="52">
        <f t="shared" si="14"/>
        <v>118271384.51419613</v>
      </c>
    </row>
    <row r="118" spans="1:13" x14ac:dyDescent="0.15">
      <c r="H118" s="54"/>
      <c r="M118" s="52">
        <f t="shared" si="14"/>
        <v>0</v>
      </c>
    </row>
    <row r="119" spans="1:13" x14ac:dyDescent="0.15">
      <c r="A119" s="55" t="s">
        <v>546</v>
      </c>
      <c r="B119" s="55" t="s">
        <v>547</v>
      </c>
      <c r="C119" s="55"/>
      <c r="D119" s="57">
        <v>14870.91</v>
      </c>
      <c r="E119" s="52">
        <f>84098.15</f>
        <v>84098.15</v>
      </c>
      <c r="F119" s="52">
        <f>81486.44</f>
        <v>81486.44</v>
      </c>
      <c r="G119" s="52">
        <f>22514.04</f>
        <v>22514.04</v>
      </c>
      <c r="H119" s="58"/>
      <c r="I119" s="52">
        <f>(SUM(D119:G119)/3)*((1+I3)*(1+I4))</f>
        <v>71732.304072165352</v>
      </c>
      <c r="J119" s="52">
        <f>(SUM(E119:H119)/3)*((1+J3)*(1+J4))</f>
        <v>66355.710453958338</v>
      </c>
      <c r="K119" s="52">
        <f>(SUM(F119:I119)/3)*((1+K3)*(1+K4))</f>
        <v>61993.400681124505</v>
      </c>
      <c r="L119" s="52">
        <f>(SUM(G119:J119)/3)*((1+L3)*(1+L4))</f>
        <v>57208.459347886834</v>
      </c>
      <c r="M119" s="52">
        <f t="shared" si="14"/>
        <v>257289.87455513503</v>
      </c>
    </row>
    <row r="120" spans="1:13" x14ac:dyDescent="0.15">
      <c r="A120" s="46" t="s">
        <v>669</v>
      </c>
      <c r="B120" s="46" t="s">
        <v>670</v>
      </c>
      <c r="H120" s="54"/>
      <c r="I120" s="53">
        <v>125584.48</v>
      </c>
      <c r="J120" s="53">
        <v>12030326.34</v>
      </c>
      <c r="K120" s="53">
        <v>10206866.279999999</v>
      </c>
      <c r="L120" s="53">
        <v>11737231.470000001</v>
      </c>
      <c r="M120" s="52">
        <f t="shared" si="14"/>
        <v>34100008.57</v>
      </c>
    </row>
    <row r="121" spans="1:13" x14ac:dyDescent="0.15">
      <c r="A121" s="55" t="s">
        <v>657</v>
      </c>
      <c r="B121" s="55" t="s">
        <v>658</v>
      </c>
      <c r="C121" s="55"/>
      <c r="D121" s="52">
        <f>56802.54+25623.68+2610.55+7831.64+8541.23+32926.16+2669.28+8007.83+10975.39+29462.41+15759.07+21087.99+11552.06+7029.33+34656.19+25207.63+33674.85+11026.12+22904.48+9816.21+25727.63+24542.6+9967.35+10518.25+23257.15+9667.11+25589.03+10966.72+4143.05+30408.84+12097.76+5184.76+13032.36+28111.05+19820.72+9370.35+6606.91+26384.74+23793.31+8794.91+7931.1</f>
        <v>714080.34</v>
      </c>
      <c r="E121" s="52">
        <f>30965.95+39243.6+29474.33+33199.65+20033.22+19976.97+32337.37+30676.26+24564.27+24489.32+29391.04+31844.33+38646.53</f>
        <v>384842.83999999997</v>
      </c>
      <c r="F121" s="52">
        <f>37923.92+38023.17+29490.51+37459.03+37531.83+39630.53+36119.72+32667.15+39871.71+41051.25+41781.74+52915.1</f>
        <v>464465.66000000003</v>
      </c>
      <c r="G121" s="52"/>
      <c r="H121" s="51"/>
      <c r="I121" s="52">
        <f>(SUM(D121:G121)/3)*((1+I3)*(1+I4))</f>
        <v>552523.71195160539</v>
      </c>
      <c r="J121" s="52">
        <f>(SUM(E121:H121)/3)*((1+J3)*(1+J4))</f>
        <v>299611.26730208332</v>
      </c>
      <c r="K121" s="52">
        <f>(SUM(F121:I121)/3)*((1+K3)*(1+K4))</f>
        <v>358764.18823451118</v>
      </c>
      <c r="L121" s="52">
        <f>(SUM(G121:J121)/3)*((1+L3)*(1+L4))</f>
        <v>303541.13129740453</v>
      </c>
      <c r="M121" s="52">
        <f t="shared" si="14"/>
        <v>1514440.2987856045</v>
      </c>
    </row>
    <row r="122" spans="1:13" x14ac:dyDescent="0.15">
      <c r="A122" s="55" t="s">
        <v>645</v>
      </c>
      <c r="B122" s="55" t="s">
        <v>647</v>
      </c>
      <c r="C122" s="55"/>
      <c r="D122" s="52">
        <f>15000+8000+35490+8000+15000+3000+15000+8000+15000+8000+1000+15000+1000+8000+1000+20000+1000+20000+4000</f>
        <v>201490</v>
      </c>
      <c r="E122" s="52">
        <f>8000+15000+10000+8000+10000+8000+8000+15000+8000+25000+1000+8000+15000+8000+8000+10000+15000+15000+25000+1000+20710.95+25000+1000+1000+25000+20710.95+1000+25000+1000+25000+500+12500</f>
        <v>379421.9</v>
      </c>
      <c r="F122" s="52">
        <f>1000+25000+25000+1000+25000+1000+1000+25000+1000+25000+25000+1000+25000+1000</f>
        <v>182000</v>
      </c>
      <c r="G122" s="52">
        <f>1000+25000+25000+1000+500+12500+25000+1000+25000+1000+25000+25000+1000+1000+25000+25000+1000+1000+25000</f>
        <v>246000</v>
      </c>
      <c r="H122" s="51"/>
      <c r="I122" s="52">
        <f>(SUM(D122:G122)/3)*((1+I3)*(1+I4))</f>
        <v>356563.72474818671</v>
      </c>
      <c r="J122" s="52">
        <f>(SUM(E122:H122)/3)*((1+J3)*(1+J4))</f>
        <v>284834.89651458338</v>
      </c>
      <c r="K122" s="52">
        <f>(SUM(F122:I122)/3)*((1+K3)*(1+K4))</f>
        <v>276771.19898252178</v>
      </c>
      <c r="L122" s="52">
        <f>(SUM(G122:J122)/3)*((1+L3)*(1+L4))</f>
        <v>316102.48137656448</v>
      </c>
      <c r="M122" s="52">
        <f t="shared" si="14"/>
        <v>1234272.3016218564</v>
      </c>
    </row>
    <row r="123" spans="1:13" x14ac:dyDescent="0.15">
      <c r="A123" s="55" t="s">
        <v>655</v>
      </c>
      <c r="B123" s="55" t="s">
        <v>656</v>
      </c>
      <c r="C123" s="66"/>
      <c r="D123" s="52">
        <f>12000+12000+8000+12000+12000+12000+12000+12000</f>
        <v>92000</v>
      </c>
      <c r="E123" s="52">
        <f>12000+12000+12000+12000+12000+12000+1500+1500+12000+12000+12000+12000+12000+12000+12000+6000+11130</f>
        <v>176130</v>
      </c>
      <c r="F123" s="52">
        <f>12000+12000+12000+12000+12000+12000+12000</f>
        <v>84000</v>
      </c>
      <c r="G123" s="52">
        <f>12000+12000+6000+12000+1000+25000+12000+12000+12000+12000</f>
        <v>116000</v>
      </c>
      <c r="H123" s="51"/>
      <c r="I123" s="52">
        <f>(SUM(D123:G123)/3)*((1+I3)*(1+I4))</f>
        <v>165443.75823733336</v>
      </c>
      <c r="J123" s="52">
        <f>(SUM(E123:H123)/3)*((1+J3)*(1+J4))</f>
        <v>132687.69354166667</v>
      </c>
      <c r="K123" s="52">
        <f>(SUM(F123:I123)/3)*((1+K3)*(1+K4))</f>
        <v>128917.89912984931</v>
      </c>
      <c r="L123" s="52">
        <f>(SUM(G123:J123)/3)*((1+L3)*(1+L4))</f>
        <v>147518.79976682705</v>
      </c>
      <c r="M123" s="52">
        <f t="shared" si="14"/>
        <v>574568.1506756763</v>
      </c>
    </row>
    <row r="124" spans="1:13" x14ac:dyDescent="0.15">
      <c r="A124" s="55" t="s">
        <v>649</v>
      </c>
      <c r="B124" s="55" t="s">
        <v>650</v>
      </c>
      <c r="C124" s="55"/>
      <c r="D124" s="52">
        <f>10232.09+10232.09+10232.09+10232.09+10232.09+10232.09</f>
        <v>61392.539999999994</v>
      </c>
      <c r="E124" s="52">
        <f>10232.09+10232.09+10232.09+10232.09+10232.09+10232.09+10232.09+10232.09+10232.09+10232.09+5116.05</f>
        <v>107436.94999999998</v>
      </c>
      <c r="F124" s="52">
        <f>10232.09+10232.09+10232.09+10232.09+10232.09+10232.09+10232.09+10232.09</f>
        <v>81856.719999999987</v>
      </c>
      <c r="G124" s="52">
        <f>10232.09+5116.04+12000+10232.09+10232.09+10232.09+10232.09+10232.09+10232.09+10232.09</f>
        <v>98972.75999999998</v>
      </c>
      <c r="H124" s="51"/>
      <c r="I124" s="52">
        <f>(SUM(D124:G124)/3)*((1+I3)*(1+I4))</f>
        <v>123574.42184477601</v>
      </c>
      <c r="J124" s="52">
        <f>(SUM(E124:H124)/3)*((1+J3)*(1+J4))</f>
        <v>101691.98873312498</v>
      </c>
      <c r="K124" s="52">
        <f>(SUM(F124:I124)/3)*((1+K3)*(1+K4))</f>
        <v>107384.81812369984</v>
      </c>
      <c r="L124" s="52">
        <f>(SUM(G124:J124)/3)*((1+L3)*(1+L4))</f>
        <v>115498.04554948054</v>
      </c>
      <c r="M124" s="52">
        <f t="shared" si="14"/>
        <v>448149.27425108134</v>
      </c>
    </row>
    <row r="125" spans="1:13" x14ac:dyDescent="0.15">
      <c r="A125" s="55" t="s">
        <v>651</v>
      </c>
      <c r="B125" s="55" t="s">
        <v>652</v>
      </c>
      <c r="C125" s="55"/>
      <c r="D125" s="52">
        <f>6611.34+6611.34+6611.34+6611.34+6611.34</f>
        <v>33056.699999999997</v>
      </c>
      <c r="E125" s="52">
        <f>6813.32+6813.32+6611.34+6611.34+6611.34+6611.34+6813.32+6813.32+6813.32+6813.32+6813.32+3406.66</f>
        <v>77545.260000000009</v>
      </c>
      <c r="F125" s="52">
        <f>6813.32+6813.32+6813.32+6611.34+6611.34+6813.32+6813.32+6813.32+6813.32+3406.66+6813.32+6813.32</f>
        <v>77949.22</v>
      </c>
      <c r="G125" s="52">
        <f>6813.32+6813.32+6813.32+6813.32+6813.32+6813.32+6813.32</f>
        <v>47693.24</v>
      </c>
      <c r="H125" s="51"/>
      <c r="I125" s="52">
        <f>(SUM(D125:G125)/3)*((1+I3)*(1+I4))</f>
        <v>83492.116949136005</v>
      </c>
      <c r="J125" s="52">
        <f>(SUM(E125:H125)/3)*((1+J3)*(1+J4))</f>
        <v>71678.7013075</v>
      </c>
      <c r="K125" s="52">
        <f>(SUM(F125:I125)/3)*((1+K3)*(1+K4))</f>
        <v>73776.578989160829</v>
      </c>
      <c r="L125" s="52">
        <f>(SUM(G125:J125)/3)*((1+L3)*(1+L4))</f>
        <v>72262.713351741957</v>
      </c>
      <c r="M125" s="52">
        <f t="shared" si="14"/>
        <v>301210.11059753876</v>
      </c>
    </row>
    <row r="126" spans="1:13" x14ac:dyDescent="0.15">
      <c r="A126" s="55" t="s">
        <v>653</v>
      </c>
      <c r="B126" s="55" t="s">
        <v>654</v>
      </c>
      <c r="C126" s="55"/>
      <c r="D126" s="52">
        <f>15540+14250+10260+12690+17490</f>
        <v>70230</v>
      </c>
      <c r="E126" s="52">
        <f>18120+17190+14582+18450+18210+11790+19581+11293.26+22380+22260</f>
        <v>173856.26</v>
      </c>
      <c r="F126" s="52">
        <f>19330+14760+22080+10590+17471+23250+19813+16916</f>
        <v>144210</v>
      </c>
      <c r="G126" s="52">
        <f>17790+353+11130+17790+1320+11879+1470+16830+15393</f>
        <v>93955</v>
      </c>
      <c r="H126" s="51"/>
      <c r="I126" s="52">
        <f>(SUM(D126:G126)/3)*((1+I3)*(1+I4))</f>
        <v>170434.41110180804</v>
      </c>
      <c r="J126" s="52">
        <f>(SUM(E126:H126)/3)*((1+J3)*(1+J4))</f>
        <v>145349.08324125002</v>
      </c>
      <c r="K126" s="52">
        <f>(SUM(F126:I126)/3)*((1+K3)*(1+K4))</f>
        <v>144141.9547538941</v>
      </c>
      <c r="L126" s="52">
        <f>(SUM(G126:J126)/3)*((1+L3)*(1+L4))</f>
        <v>145953.97341617657</v>
      </c>
      <c r="M126" s="52">
        <f t="shared" si="14"/>
        <v>605879.42251312872</v>
      </c>
    </row>
    <row r="127" spans="1:13" x14ac:dyDescent="0.15">
      <c r="A127" s="55" t="s">
        <v>646</v>
      </c>
      <c r="B127" s="55" t="s">
        <v>648</v>
      </c>
      <c r="C127" s="55"/>
      <c r="D127" s="52">
        <f>34144.24+32118.75+32118.75+32118.75+32118.75+31999.63</f>
        <v>194618.87</v>
      </c>
      <c r="E127" s="52">
        <f>32174.06+35355.97+31474.96+31999.63+32118.75+32994.35+33010.65+32687.69+32896.48+30581.11+32896.48+16521.46</f>
        <v>374711.58999999997</v>
      </c>
      <c r="F127" s="52">
        <f>33357.22+33357.22+33357.22+33834.79+33651.06+33418.41+16521.45+33417.37+33441.45</f>
        <v>284356.19</v>
      </c>
      <c r="G127" s="52">
        <f>32926.18+32917+33538.86+33538.86+32926.18+33562.33+33562.33+33562.33+33562.33</f>
        <v>300096.40000000002</v>
      </c>
      <c r="H127" s="51"/>
      <c r="I127" s="52">
        <f>(SUM(D127:G127)/3)*((1+I3)*(1+I4))</f>
        <v>407763.23667043995</v>
      </c>
      <c r="J127" s="52">
        <f>(SUM(E127:H127)/3)*((1+J3)*(1+J4))</f>
        <v>338365.14708208339</v>
      </c>
      <c r="K127" s="52">
        <f>(SUM(F127:I127)/3)*((1+K3)*(1+K4))</f>
        <v>350024.80402105331</v>
      </c>
      <c r="L127" s="52">
        <f>(SUM(G127:J127)/3)*((1+L3)*(1+L4))</f>
        <v>372678.34578244569</v>
      </c>
      <c r="M127" s="52">
        <f t="shared" si="14"/>
        <v>1468831.5335560224</v>
      </c>
    </row>
    <row r="128" spans="1:13" x14ac:dyDescent="0.15">
      <c r="A128" s="55"/>
      <c r="B128" s="55" t="s">
        <v>160</v>
      </c>
      <c r="C128" s="55"/>
      <c r="D128" s="52"/>
      <c r="E128" s="52"/>
      <c r="F128" s="52">
        <f>16970.66</f>
        <v>16970.66</v>
      </c>
      <c r="G128" s="52"/>
      <c r="H128" s="51"/>
      <c r="I128" s="52"/>
      <c r="J128" s="52"/>
      <c r="K128" s="52"/>
      <c r="L128" s="52"/>
      <c r="M128" s="52"/>
    </row>
    <row r="129" spans="1:13" x14ac:dyDescent="0.15">
      <c r="A129" s="55"/>
      <c r="B129" s="55" t="s">
        <v>161</v>
      </c>
      <c r="C129" s="55"/>
      <c r="D129" s="52"/>
      <c r="E129" s="52"/>
      <c r="F129" s="52">
        <f>11250</f>
        <v>11250</v>
      </c>
      <c r="G129" s="52"/>
      <c r="H129" s="51"/>
      <c r="I129" s="52"/>
      <c r="J129" s="52"/>
      <c r="K129" s="52"/>
      <c r="L129" s="52"/>
      <c r="M129" s="52"/>
    </row>
    <row r="130" spans="1:13" x14ac:dyDescent="0.15">
      <c r="A130" s="55"/>
      <c r="B130" s="55" t="s">
        <v>162</v>
      </c>
      <c r="C130" s="55"/>
      <c r="D130" s="52"/>
      <c r="E130" s="52"/>
      <c r="F130" s="52"/>
      <c r="G130" s="52">
        <f>44199.83+38806.79+37238.79+31612.81+44163+40004.87</f>
        <v>236026.09</v>
      </c>
      <c r="H130" s="51"/>
      <c r="I130" s="52"/>
      <c r="J130" s="52"/>
      <c r="K130" s="52"/>
      <c r="L130" s="52"/>
      <c r="M130" s="62"/>
    </row>
    <row r="131" spans="1:13" x14ac:dyDescent="0.15">
      <c r="A131" s="55"/>
      <c r="B131" s="55" t="s">
        <v>163</v>
      </c>
      <c r="C131" s="55"/>
      <c r="D131" s="52"/>
      <c r="E131" s="52"/>
      <c r="F131" s="52"/>
      <c r="G131" s="52">
        <v>100000</v>
      </c>
      <c r="H131" s="51"/>
      <c r="I131" s="52"/>
      <c r="J131" s="52"/>
      <c r="K131" s="52"/>
      <c r="L131" s="52"/>
      <c r="M131" s="62"/>
    </row>
    <row r="132" spans="1:13" x14ac:dyDescent="0.15">
      <c r="D132" s="53"/>
      <c r="E132" s="53"/>
      <c r="F132" s="53"/>
      <c r="G132" s="53"/>
      <c r="H132" s="60"/>
      <c r="I132" s="53"/>
      <c r="J132" s="53"/>
      <c r="K132" s="53"/>
      <c r="L132" s="53"/>
      <c r="M132" s="62">
        <f t="shared" si="14"/>
        <v>0</v>
      </c>
    </row>
    <row r="133" spans="1:13" x14ac:dyDescent="0.15">
      <c r="A133" s="55" t="s">
        <v>544</v>
      </c>
      <c r="B133" s="55" t="s">
        <v>159</v>
      </c>
      <c r="C133" s="55" t="s">
        <v>545</v>
      </c>
      <c r="D133" s="52">
        <v>1156762.46</v>
      </c>
      <c r="E133" s="52">
        <f>1793679.05</f>
        <v>1793679.05</v>
      </c>
      <c r="F133" s="52">
        <v>2173599.63</v>
      </c>
      <c r="G133" s="52">
        <v>1002857.42</v>
      </c>
      <c r="H133" s="51">
        <f>1540842</f>
        <v>1540842</v>
      </c>
      <c r="I133" s="52">
        <f>(SUM(D133:G133)/3)*((1+I3)*(1+I4))</f>
        <v>2165332.5446036481</v>
      </c>
      <c r="J133" s="52">
        <f>(SUM(E133:H133)/3)*((1+J3)*(1+J4))</f>
        <v>2296883.170152083</v>
      </c>
      <c r="K133" s="52">
        <f>(SUM(F133:I133)/3)*((1+K3)*(1+K4))</f>
        <v>2427991.6831546575</v>
      </c>
      <c r="L133" s="52">
        <f>(SUM(G133:J133)/3)*((1+L3)*(1+L4))</f>
        <v>2495594.5449391752</v>
      </c>
      <c r="M133" s="64">
        <f>SUM(I133:L133)</f>
        <v>9385801.9428495634</v>
      </c>
    </row>
    <row r="134" spans="1:13" x14ac:dyDescent="0.15">
      <c r="A134" s="67"/>
      <c r="B134" s="67"/>
      <c r="C134" s="67"/>
      <c r="D134" s="68"/>
      <c r="E134" s="68"/>
      <c r="F134" s="68"/>
      <c r="G134" s="68"/>
      <c r="H134" s="69"/>
      <c r="I134" s="68"/>
      <c r="J134" s="68"/>
      <c r="K134" s="68"/>
      <c r="L134" s="68"/>
      <c r="M134" s="52"/>
    </row>
    <row r="135" spans="1:13" x14ac:dyDescent="0.15">
      <c r="A135" s="67"/>
      <c r="B135" s="67" t="s">
        <v>471</v>
      </c>
      <c r="C135" s="67"/>
      <c r="D135" s="68"/>
      <c r="E135" s="68"/>
      <c r="F135" s="68"/>
      <c r="G135" s="68"/>
      <c r="H135" s="69"/>
      <c r="I135" s="68"/>
      <c r="J135" s="68"/>
      <c r="K135" s="68"/>
      <c r="L135" s="68"/>
      <c r="M135" s="52">
        <f t="shared" si="14"/>
        <v>0</v>
      </c>
    </row>
    <row r="136" spans="1:13" x14ac:dyDescent="0.15">
      <c r="A136" s="55"/>
      <c r="B136" s="55" t="s">
        <v>472</v>
      </c>
      <c r="C136" s="55"/>
      <c r="D136" s="52"/>
      <c r="E136" s="52">
        <f>2553.68</f>
        <v>2553.6799999999998</v>
      </c>
      <c r="F136" s="52">
        <f>7419.02</f>
        <v>7419.02</v>
      </c>
      <c r="G136" s="52">
        <f>385.44+204.28</f>
        <v>589.72</v>
      </c>
      <c r="H136" s="51"/>
      <c r="I136" s="52">
        <f>(SUM(D136:G136)/3)*((1+I3)*(1+I4))</f>
        <v>3732.9085102026675</v>
      </c>
      <c r="J136" s="52">
        <f>(SUM(E136:H136)/3)*((1+J3)*(1+J4))</f>
        <v>3726.113705416667</v>
      </c>
      <c r="K136" s="52">
        <f>(SUM(F136:I136)/3)*((1+K3)*(1+K4))</f>
        <v>4142.1111296512872</v>
      </c>
      <c r="L136" s="52">
        <f>(SUM(G136:J136)/3)*((1+L3)*(1+L4))</f>
        <v>2867.0625864813023</v>
      </c>
      <c r="M136" s="52">
        <f t="shared" si="14"/>
        <v>14468.195931751923</v>
      </c>
    </row>
    <row r="137" spans="1:13" x14ac:dyDescent="0.15">
      <c r="A137" s="55"/>
      <c r="B137" s="55" t="s">
        <v>502</v>
      </c>
      <c r="C137" s="55"/>
      <c r="D137" s="52">
        <f>13524.92+837.8</f>
        <v>14362.72</v>
      </c>
      <c r="E137" s="52">
        <f>5302+111.1+3161.63+245.94</f>
        <v>8820.67</v>
      </c>
      <c r="F137" s="52">
        <f>8792+179.67+1273.5+304.41</f>
        <v>10549.58</v>
      </c>
      <c r="G137" s="52">
        <f>5372.27+19.73+416.6+274.48</f>
        <v>6083.08</v>
      </c>
      <c r="H137" s="51"/>
      <c r="I137" s="52">
        <f>(SUM(D137:G137)/3)*((1+I3)*(1+I4))</f>
        <v>14071.554803506669</v>
      </c>
      <c r="J137" s="52">
        <f>(SUM(E137:H137)/3)*((1+J3)*(1+J4))</f>
        <v>8979.1924352083352</v>
      </c>
      <c r="K137" s="52">
        <f>(SUM(F137:I137)/3)*((1+K3)*(1+K4))</f>
        <v>10831.551443078717</v>
      </c>
      <c r="L137" s="52">
        <f>(SUM(G137:J137)/3)*((1+L3)*(1+L4))</f>
        <v>10377.83343527077</v>
      </c>
      <c r="M137" s="52">
        <f t="shared" si="14"/>
        <v>44260.132117064488</v>
      </c>
    </row>
    <row r="138" spans="1:13" x14ac:dyDescent="0.15">
      <c r="A138" s="55"/>
      <c r="B138" s="55" t="s">
        <v>503</v>
      </c>
      <c r="C138" s="55"/>
      <c r="D138" s="52"/>
      <c r="E138" s="52"/>
      <c r="F138" s="52">
        <f>2263.17+11421.93</f>
        <v>13685.1</v>
      </c>
      <c r="G138" s="52">
        <f>24178.01+15.93</f>
        <v>24193.94</v>
      </c>
      <c r="H138" s="51"/>
      <c r="I138" s="52">
        <f>(SUM(D138:G138)/3)*((1+I3)*(1+I4))</f>
        <v>13386.988093098667</v>
      </c>
      <c r="J138" s="52">
        <f>(SUM(E138:H138)/3)*((1+J3)*(1+J4))</f>
        <v>13362.620506666666</v>
      </c>
      <c r="K138" s="52">
        <f>(SUM(F138:I138)/3)*((1+K3)*(1+K4))</f>
        <v>18085.159452092495</v>
      </c>
      <c r="L138" s="52">
        <f>(SUM(G138:J138)/3)*((1+L3)*(1+L4))</f>
        <v>18146.728805593906</v>
      </c>
      <c r="M138" s="52">
        <f>SUM(I138:L138)</f>
        <v>62981.496857451733</v>
      </c>
    </row>
    <row r="139" spans="1:13" x14ac:dyDescent="0.15">
      <c r="A139" s="55"/>
      <c r="B139" s="55" t="s">
        <v>473</v>
      </c>
      <c r="C139" s="55"/>
      <c r="D139" s="52">
        <f>160.71+94.45</f>
        <v>255.16000000000003</v>
      </c>
      <c r="E139" s="52">
        <f>19245.05+1263.78+203.46</f>
        <v>20712.289999999997</v>
      </c>
      <c r="F139" s="52">
        <f>80901.53+2560.47</f>
        <v>83462</v>
      </c>
      <c r="G139" s="52">
        <f>13288.34+41.11+3107.3</f>
        <v>16436.75</v>
      </c>
      <c r="H139" s="51"/>
      <c r="I139" s="52">
        <f>(SUM(D139:G139)/3)*((1+I3)*(1+I4))</f>
        <v>42715.823322293334</v>
      </c>
      <c r="J139" s="52">
        <f>(SUM(E139:H139)/3)*((1+J3)*(1+J4))</f>
        <v>42548.057090000002</v>
      </c>
      <c r="K139" s="52">
        <f>(SUM(F139:I139)/3)*((1+K3)*(1+K4))</f>
        <v>50310.261876383192</v>
      </c>
      <c r="L139" s="52">
        <f>(SUM(G139:J139)/3)*((1+L3)*(1+L4))</f>
        <v>36227.035810739035</v>
      </c>
      <c r="M139" s="52">
        <f t="shared" si="14"/>
        <v>171801.17809941556</v>
      </c>
    </row>
    <row r="140" spans="1:13" x14ac:dyDescent="0.15">
      <c r="A140" s="55"/>
      <c r="B140" s="55" t="s">
        <v>504</v>
      </c>
      <c r="C140" s="55"/>
      <c r="D140" s="52">
        <v>28405.8</v>
      </c>
      <c r="E140" s="52"/>
      <c r="F140" s="52">
        <v>15.88</v>
      </c>
      <c r="G140" s="52">
        <f>4291.68+71.07+9721.92</f>
        <v>14084.67</v>
      </c>
      <c r="H140" s="51"/>
      <c r="I140" s="52">
        <f>(SUM(D140:G140)/3)*((1+I3)*(1+I4))</f>
        <v>15022.344846413334</v>
      </c>
      <c r="J140" s="52">
        <f>(SUM(E140:H140)/3)*((1+J3)*(1+J4))</f>
        <v>4974.2627739583331</v>
      </c>
      <c r="K140" s="52">
        <f>(SUM(F140:I140)/3)*((1+K3)*(1+K4))</f>
        <v>10273.70788404827</v>
      </c>
      <c r="L140" s="52">
        <f>(SUM(G140:J140)/3)*((1+L3)*(1+L4))</f>
        <v>12140.17710434664</v>
      </c>
      <c r="M140" s="52">
        <f t="shared" si="14"/>
        <v>42410.492608766581</v>
      </c>
    </row>
    <row r="141" spans="1:13" x14ac:dyDescent="0.15">
      <c r="A141" s="55"/>
      <c r="B141" s="93" t="s">
        <v>517</v>
      </c>
      <c r="C141" s="55"/>
      <c r="D141" s="52"/>
      <c r="E141" s="52"/>
      <c r="F141" s="52"/>
      <c r="G141" s="52"/>
      <c r="H141" s="51"/>
      <c r="I141" s="52"/>
      <c r="J141" s="52"/>
      <c r="K141" s="52"/>
      <c r="L141" s="52"/>
      <c r="M141" s="52">
        <f t="shared" si="14"/>
        <v>0</v>
      </c>
    </row>
    <row r="142" spans="1:13" x14ac:dyDescent="0.15">
      <c r="A142" s="55"/>
      <c r="B142" s="93" t="s">
        <v>518</v>
      </c>
      <c r="C142" s="55"/>
      <c r="D142" s="52"/>
      <c r="E142" s="52"/>
      <c r="F142" s="52"/>
      <c r="G142" s="52"/>
      <c r="H142" s="51"/>
      <c r="I142" s="52"/>
      <c r="J142" s="52"/>
      <c r="K142" s="52"/>
      <c r="L142" s="52"/>
      <c r="M142" s="52"/>
    </row>
    <row r="143" spans="1:13" x14ac:dyDescent="0.15">
      <c r="A143" s="55"/>
      <c r="B143" s="55" t="s">
        <v>133</v>
      </c>
      <c r="C143" s="55"/>
      <c r="D143" s="55"/>
      <c r="E143" s="55"/>
      <c r="F143" s="55"/>
      <c r="G143" s="55"/>
      <c r="H143" s="58"/>
      <c r="I143" s="55"/>
      <c r="J143" s="55"/>
      <c r="K143" s="55"/>
      <c r="L143" s="55"/>
      <c r="M143" s="52">
        <f t="shared" si="14"/>
        <v>0</v>
      </c>
    </row>
    <row r="144" spans="1:13" x14ac:dyDescent="0.15">
      <c r="A144" s="55"/>
      <c r="B144" s="55" t="s">
        <v>134</v>
      </c>
      <c r="C144" s="55"/>
      <c r="D144" s="55"/>
      <c r="E144" s="55"/>
      <c r="F144" s="55"/>
      <c r="G144" s="55"/>
      <c r="H144" s="58"/>
      <c r="I144" s="55"/>
      <c r="J144" s="55"/>
      <c r="K144" s="55"/>
      <c r="L144" s="55"/>
      <c r="M144" s="52">
        <f t="shared" si="14"/>
        <v>0</v>
      </c>
    </row>
    <row r="145" spans="1:13" x14ac:dyDescent="0.15">
      <c r="A145" s="55"/>
      <c r="B145" s="55" t="s">
        <v>135</v>
      </c>
      <c r="C145" s="55"/>
      <c r="D145" s="52">
        <v>467.87</v>
      </c>
      <c r="E145" s="52">
        <v>9670.93</v>
      </c>
      <c r="F145" s="52">
        <f>2426.36+5835.54+9068.19</f>
        <v>17330.09</v>
      </c>
      <c r="G145" s="52">
        <f>8082.15+6645.51+4539.83</f>
        <v>19267.489999999998</v>
      </c>
      <c r="H145" s="51"/>
      <c r="I145" s="52">
        <f>(SUM(D145:G145)/3)*((1+I3)*(1+I4))</f>
        <v>16517.297232837336</v>
      </c>
      <c r="J145" s="52">
        <f>(SUM(E145:H145)/3)*((1+J3)*(1+J4))</f>
        <v>16322.180829791663</v>
      </c>
      <c r="K145" s="52">
        <f>(SUM(F145:I145)/3)*((1+K3)*(1+K4))</f>
        <v>18737.379503825723</v>
      </c>
      <c r="L145" s="52">
        <f>(SUM(G145:J145)/3)*((1+L3)*(1+L4))</f>
        <v>18561.15336100923</v>
      </c>
      <c r="M145" s="52">
        <f t="shared" si="14"/>
        <v>70138.010927463954</v>
      </c>
    </row>
    <row r="146" spans="1:13" x14ac:dyDescent="0.15">
      <c r="A146" s="55"/>
      <c r="B146" s="55" t="s">
        <v>659</v>
      </c>
      <c r="C146" s="55"/>
      <c r="D146" s="52">
        <v>8662.92</v>
      </c>
      <c r="E146" s="52">
        <v>28398.43</v>
      </c>
      <c r="F146" s="52">
        <v>3395.44</v>
      </c>
      <c r="G146" s="52">
        <v>6171.4</v>
      </c>
      <c r="H146" s="51"/>
      <c r="I146" s="52">
        <f>(SUM(D146:G146)/3)*((1+I3)*(1+I4))</f>
        <v>16479.061357752005</v>
      </c>
      <c r="J146" s="52">
        <f>(SUM(E146:H146)/3)*((1+J3)*(1+J4))</f>
        <v>13393.039935624998</v>
      </c>
      <c r="K146" s="52">
        <f>(SUM(F146:I146)/3)*((1+K3)*(1+K4))</f>
        <v>9188.2343268919722</v>
      </c>
      <c r="L146" s="52">
        <f>(SUM(G146:J146)/3)*((1+L3)*(1+L4))</f>
        <v>12839.145704467055</v>
      </c>
      <c r="M146" s="52">
        <f t="shared" si="14"/>
        <v>51899.481324736029</v>
      </c>
    </row>
    <row r="147" spans="1:13" x14ac:dyDescent="0.15">
      <c r="H147" s="54"/>
      <c r="M147" s="52"/>
    </row>
    <row r="148" spans="1:13" x14ac:dyDescent="0.15">
      <c r="H148" s="54"/>
      <c r="M148" s="52"/>
    </row>
    <row r="149" spans="1:13" x14ac:dyDescent="0.15">
      <c r="H149" s="54"/>
      <c r="M149" s="52"/>
    </row>
    <row r="150" spans="1:13" x14ac:dyDescent="0.15">
      <c r="H150" s="54"/>
      <c r="M150" s="52">
        <f t="shared" si="14"/>
        <v>0</v>
      </c>
    </row>
    <row r="151" spans="1:13" x14ac:dyDescent="0.15">
      <c r="A151" s="168"/>
      <c r="B151" s="167" t="s">
        <v>644</v>
      </c>
      <c r="C151" s="168"/>
      <c r="D151" s="168"/>
      <c r="E151" s="168"/>
      <c r="F151" s="168"/>
      <c r="G151" s="168"/>
      <c r="H151" s="169"/>
      <c r="I151" s="170">
        <f>SUM(I32+I35+I114+I115+I116)*0.2</f>
        <v>14439208.719598291</v>
      </c>
      <c r="J151" s="170">
        <f>SUM(J32+J35+J114+J115+J116)*0.2</f>
        <v>15379814.661855293</v>
      </c>
      <c r="K151" s="170">
        <f>SUM(K32+K35+K114+K115+K116)*0.2</f>
        <v>16958030.228521999</v>
      </c>
      <c r="L151" s="171">
        <f>SUM(L32+L35+L114+L115+L116)*0.2</f>
        <v>18689617.429083433</v>
      </c>
      <c r="M151" s="52">
        <f t="shared" ref="M151" si="16">SUM(I151:L151)</f>
        <v>65466671.039059013</v>
      </c>
    </row>
    <row r="152" spans="1:13" x14ac:dyDescent="0.15">
      <c r="H152" s="54"/>
      <c r="M152" s="52">
        <f t="shared" si="13"/>
        <v>0</v>
      </c>
    </row>
    <row r="153" spans="1:13" x14ac:dyDescent="0.15">
      <c r="A153" s="55"/>
      <c r="B153" s="55"/>
      <c r="C153" s="70" t="s">
        <v>109</v>
      </c>
      <c r="D153" s="65">
        <f>SUM(D7:D145)</f>
        <v>82296183.459999993</v>
      </c>
      <c r="E153" s="65">
        <f>SUM(E7:E145)</f>
        <v>91763671.970000029</v>
      </c>
      <c r="F153" s="65">
        <f>SUM(F7:F145)</f>
        <v>102336223.74999997</v>
      </c>
      <c r="G153" s="65">
        <f>SUM(G7:G145)</f>
        <v>108169053.28000002</v>
      </c>
      <c r="H153" s="71">
        <f>SUM(H7:H145)</f>
        <v>91621257</v>
      </c>
      <c r="I153" s="76">
        <f>SUM(I7:I145)-I151</f>
        <v>117381360.50234441</v>
      </c>
      <c r="J153" s="76">
        <f>SUM(J7:J145)-J151</f>
        <v>129655809.5669954</v>
      </c>
      <c r="K153" s="76">
        <f>SUM(K7:K145)-K151</f>
        <v>140526056.69584429</v>
      </c>
      <c r="L153" s="76">
        <f>SUM(L7:L145)-L151</f>
        <v>153113491.62137154</v>
      </c>
      <c r="M153" s="65">
        <f>SUM(M7:M145)</f>
        <v>606143389.4256146</v>
      </c>
    </row>
    <row r="154" spans="1:13" x14ac:dyDescent="0.15">
      <c r="I154" s="72">
        <f>(I153-H153)/H153</f>
        <v>0.28115859076616262</v>
      </c>
      <c r="J154" s="72">
        <f>(J153-I153)/I153</f>
        <v>0.10456897936879705</v>
      </c>
      <c r="K154" s="72">
        <f>(K153-J153)/J153</f>
        <v>8.3839260000393975E-2</v>
      </c>
      <c r="L154" s="72">
        <f>(L153-K153)/K153</f>
        <v>8.9573672111013469E-2</v>
      </c>
    </row>
    <row r="155" spans="1:13" x14ac:dyDescent="0.15">
      <c r="B155" s="48"/>
      <c r="C155" s="48"/>
      <c r="D155" s="49">
        <v>2017</v>
      </c>
      <c r="E155" s="49">
        <v>2018</v>
      </c>
      <c r="F155" s="49">
        <v>2019</v>
      </c>
      <c r="G155" s="49">
        <v>2020</v>
      </c>
      <c r="H155" s="49">
        <v>2021</v>
      </c>
      <c r="I155" s="49">
        <v>2022</v>
      </c>
      <c r="J155" s="49">
        <v>2023</v>
      </c>
      <c r="K155" s="49">
        <v>2024</v>
      </c>
      <c r="L155" s="49">
        <v>2025</v>
      </c>
      <c r="M155" s="48" t="s">
        <v>90</v>
      </c>
    </row>
    <row r="156" spans="1:13" x14ac:dyDescent="0.15">
      <c r="H156" s="178" t="s">
        <v>672</v>
      </c>
      <c r="I156" s="63">
        <f>SUM(I121:I127)</f>
        <v>1859795.3815032854</v>
      </c>
      <c r="J156" s="63">
        <f t="shared" ref="J156:L156" si="17">SUM(J121:J127)</f>
        <v>1374218.7777222916</v>
      </c>
      <c r="K156" s="63">
        <f t="shared" si="17"/>
        <v>1439781.4422346903</v>
      </c>
      <c r="L156" s="63">
        <f t="shared" si="17"/>
        <v>1473555.4905406409</v>
      </c>
    </row>
    <row r="157" spans="1:13" x14ac:dyDescent="0.15">
      <c r="H157" s="178" t="s">
        <v>671</v>
      </c>
      <c r="I157" s="176">
        <v>14439208.710000001</v>
      </c>
      <c r="J157" s="176">
        <v>15379814.66</v>
      </c>
      <c r="K157" s="176">
        <v>16958030.23</v>
      </c>
      <c r="L157" s="176">
        <v>18689617.43</v>
      </c>
      <c r="M157" s="126">
        <f>SUM(I157:L157)</f>
        <v>65466671.030000001</v>
      </c>
    </row>
    <row r="158" spans="1:13" x14ac:dyDescent="0.15">
      <c r="I158" s="78">
        <f>I157-I151</f>
        <v>-9.5982905477285385E-3</v>
      </c>
      <c r="J158" s="78">
        <f>J157-J151</f>
        <v>-1.8552932888269424E-3</v>
      </c>
      <c r="K158" s="78">
        <f>K157-K151</f>
        <v>1.4780014753341675E-3</v>
      </c>
      <c r="L158" s="78">
        <f>L157-L151</f>
        <v>9.1656669974327087E-4</v>
      </c>
      <c r="M158" s="83">
        <f>65466671.03-M157</f>
        <v>0</v>
      </c>
    </row>
    <row r="159" spans="1:13" x14ac:dyDescent="0.15">
      <c r="H159" s="178" t="s">
        <v>1077</v>
      </c>
      <c r="I159" s="78">
        <f>117381360.5</f>
        <v>117381360.5</v>
      </c>
      <c r="J159" s="78">
        <v>129655809.54000001</v>
      </c>
      <c r="K159" s="78">
        <v>140526056.69999999</v>
      </c>
      <c r="L159" s="78">
        <v>153113491.61000001</v>
      </c>
      <c r="M159" s="83">
        <f>SUM(I159:L159)</f>
        <v>540676718.35000002</v>
      </c>
    </row>
    <row r="160" spans="1:13" x14ac:dyDescent="0.15">
      <c r="I160" s="63">
        <f>I153-I159</f>
        <v>2.3444145917892456E-3</v>
      </c>
      <c r="J160" s="63">
        <f>J153-J159</f>
        <v>2.6995390653610229E-2</v>
      </c>
      <c r="K160" s="63">
        <f>K153-K159</f>
        <v>-4.1556954383850098E-3</v>
      </c>
      <c r="L160" s="63">
        <f>L153-L159</f>
        <v>1.1371523141860962E-2</v>
      </c>
    </row>
    <row r="162" spans="8:13" x14ac:dyDescent="0.15">
      <c r="H162" s="178" t="s">
        <v>1078</v>
      </c>
      <c r="I162" s="190">
        <v>163276997.43000001</v>
      </c>
      <c r="J162" s="190">
        <v>177899092.28</v>
      </c>
      <c r="K162" s="190">
        <v>193329245.71000001</v>
      </c>
      <c r="L162" s="190">
        <v>206240093.02000001</v>
      </c>
    </row>
    <row r="163" spans="8:13" x14ac:dyDescent="0.15">
      <c r="I163" s="179">
        <f>I153-I162</f>
        <v>-45895636.927655593</v>
      </c>
      <c r="J163" s="179">
        <f>J153-J162</f>
        <v>-48243282.713004604</v>
      </c>
      <c r="K163" s="179">
        <f>K153-K162</f>
        <v>-52803189.014155716</v>
      </c>
      <c r="L163" s="179">
        <f>L153-L162</f>
        <v>-53126601.398628473</v>
      </c>
    </row>
    <row r="164" spans="8:13" x14ac:dyDescent="0.15">
      <c r="H164" s="178" t="s">
        <v>1079</v>
      </c>
      <c r="I164" s="63">
        <f>'Tabela 08'!I27+'Tabela 08'!I52</f>
        <v>45895636.930501617</v>
      </c>
      <c r="J164" s="63">
        <f>'Tabela 08'!J27+'Tabela 08'!J52</f>
        <v>48243282.709484473</v>
      </c>
      <c r="K164" s="63">
        <f>'Tabela 08'!K27+'Tabela 08'!K52</f>
        <v>52803189.009353384</v>
      </c>
      <c r="L164" s="63">
        <f>'Tabela 08'!L27+'Tabela 08'!L52</f>
        <v>53126601.394908696</v>
      </c>
    </row>
    <row r="165" spans="8:13" x14ac:dyDescent="0.15">
      <c r="I165" s="63">
        <f>I163+I164</f>
        <v>2.8460249304771423E-3</v>
      </c>
      <c r="J165" s="63">
        <f>J163+J164</f>
        <v>-3.5201311111450195E-3</v>
      </c>
      <c r="K165" s="63">
        <f>K163+K164</f>
        <v>-4.8023313283920288E-3</v>
      </c>
      <c r="L165" s="63">
        <f>L163+L164</f>
        <v>-3.7197768688201904E-3</v>
      </c>
    </row>
    <row r="166" spans="8:13" x14ac:dyDescent="0.15">
      <c r="M166" s="48" t="s">
        <v>90</v>
      </c>
    </row>
    <row r="167" spans="8:13" x14ac:dyDescent="0.15">
      <c r="H167" s="46" t="s">
        <v>1080</v>
      </c>
      <c r="I167" s="176">
        <v>117381360.5</v>
      </c>
      <c r="J167" s="176">
        <v>129655809.56999999</v>
      </c>
      <c r="K167" s="176">
        <v>140526056.69999999</v>
      </c>
      <c r="L167" s="176">
        <v>153113491.62</v>
      </c>
      <c r="M167" s="126">
        <f>SUM(I167:L167)</f>
        <v>540676718.38999999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7"/>
  <sheetViews>
    <sheetView topLeftCell="A37" workbookViewId="0">
      <selection activeCell="A37" sqref="A37:D37"/>
    </sheetView>
  </sheetViews>
  <sheetFormatPr defaultRowHeight="15" x14ac:dyDescent="0.25"/>
  <cols>
    <col min="1" max="1" width="43" bestFit="1" customWidth="1"/>
    <col min="2" max="2" width="12" bestFit="1" customWidth="1"/>
    <col min="3" max="3" width="13.85546875" bestFit="1" customWidth="1"/>
    <col min="4" max="6" width="10.85546875" bestFit="1" customWidth="1"/>
  </cols>
  <sheetData>
    <row r="2" spans="1:6" s="32" customFormat="1" x14ac:dyDescent="0.25">
      <c r="B2" s="33">
        <v>2017</v>
      </c>
      <c r="D2" s="33">
        <v>2018</v>
      </c>
      <c r="E2" s="33">
        <v>2019</v>
      </c>
      <c r="F2" s="33">
        <v>2020</v>
      </c>
    </row>
    <row r="3" spans="1:6" x14ac:dyDescent="0.25">
      <c r="A3" s="1" t="s">
        <v>0</v>
      </c>
      <c r="B3" s="2">
        <v>1</v>
      </c>
      <c r="C3" s="18" t="s">
        <v>47</v>
      </c>
      <c r="D3" s="18" t="s">
        <v>70</v>
      </c>
      <c r="E3" s="18" t="s">
        <v>70</v>
      </c>
      <c r="F3" s="18" t="s">
        <v>71</v>
      </c>
    </row>
    <row r="4" spans="1:6" x14ac:dyDescent="0.25">
      <c r="A4" s="3" t="s">
        <v>1</v>
      </c>
      <c r="B4" s="4">
        <f>2027524.82</f>
        <v>2027524.82</v>
      </c>
      <c r="C4" s="19" t="s">
        <v>2</v>
      </c>
      <c r="D4" s="21">
        <f>2453134.84</f>
        <v>2453134.84</v>
      </c>
      <c r="E4" s="22">
        <f>2980342.85</f>
        <v>2980342.85</v>
      </c>
      <c r="F4" s="22">
        <v>3559369.14</v>
      </c>
    </row>
    <row r="5" spans="1:6" x14ac:dyDescent="0.25">
      <c r="A5" s="3" t="s">
        <v>2</v>
      </c>
      <c r="B5" s="4">
        <v>2084530.88</v>
      </c>
      <c r="C5" s="19" t="s">
        <v>1</v>
      </c>
      <c r="D5" s="21">
        <v>2525247.4900000002</v>
      </c>
      <c r="E5" s="21">
        <f>2969453.68</f>
        <v>2969453.68</v>
      </c>
      <c r="F5" s="21">
        <v>1717986.15</v>
      </c>
    </row>
    <row r="6" spans="1:6" x14ac:dyDescent="0.25">
      <c r="A6" s="3" t="s">
        <v>3</v>
      </c>
      <c r="B6" s="4">
        <v>890057.61</v>
      </c>
      <c r="C6" s="19" t="s">
        <v>3</v>
      </c>
      <c r="D6" s="21">
        <v>1029097.42</v>
      </c>
      <c r="E6" s="21">
        <f>956926.54</f>
        <v>956926.54</v>
      </c>
      <c r="F6" s="21">
        <v>1024268.05</v>
      </c>
    </row>
    <row r="7" spans="1:6" x14ac:dyDescent="0.25">
      <c r="A7" s="3" t="s">
        <v>4</v>
      </c>
      <c r="B7" s="4">
        <v>3362442.63</v>
      </c>
      <c r="C7" s="19" t="s">
        <v>48</v>
      </c>
      <c r="D7" s="21">
        <v>3989182.48</v>
      </c>
      <c r="E7" s="21">
        <f>5085619.08</f>
        <v>5085619.08</v>
      </c>
      <c r="F7" s="21">
        <v>3905252.39</v>
      </c>
    </row>
    <row r="8" spans="1:6" x14ac:dyDescent="0.25">
      <c r="A8" s="5"/>
      <c r="B8" s="6"/>
      <c r="C8" s="20" t="s">
        <v>5</v>
      </c>
      <c r="D8" s="22">
        <f>15815164.96+3953790.83</f>
        <v>19768955.789999999</v>
      </c>
      <c r="E8" s="22">
        <f>17145882.99+4286470.38</f>
        <v>21432353.369999997</v>
      </c>
      <c r="F8" s="22">
        <f>16329117.52+4082279.01</f>
        <v>20411396.530000001</v>
      </c>
    </row>
    <row r="9" spans="1:6" x14ac:dyDescent="0.25">
      <c r="A9" s="3" t="s">
        <v>5</v>
      </c>
      <c r="B9" s="4">
        <f>14760520.77+3690129.83</f>
        <v>18450650.600000001</v>
      </c>
      <c r="C9" s="19" t="s">
        <v>49</v>
      </c>
      <c r="D9" s="21">
        <f>878016.21</f>
        <v>878016.21</v>
      </c>
      <c r="E9" s="21">
        <f>945849.4</f>
        <v>945849.4</v>
      </c>
      <c r="F9" s="21">
        <f>918520.38</f>
        <v>918520.38</v>
      </c>
    </row>
    <row r="10" spans="1:6" x14ac:dyDescent="0.25">
      <c r="A10" s="3" t="s">
        <v>6</v>
      </c>
      <c r="B10" s="4">
        <f>846269.08+820239.52</f>
        <v>1666508.6</v>
      </c>
      <c r="C10" s="19" t="s">
        <v>49</v>
      </c>
      <c r="D10" s="21">
        <v>856638.79</v>
      </c>
      <c r="E10" s="21">
        <f>910904.68</f>
        <v>910904.68</v>
      </c>
      <c r="F10" s="21">
        <f>920478.67</f>
        <v>920478.67</v>
      </c>
    </row>
    <row r="11" spans="1:6" x14ac:dyDescent="0.25">
      <c r="A11" s="3" t="s">
        <v>7</v>
      </c>
      <c r="B11" s="4">
        <f>566315.29+141578.62</f>
        <v>707893.91</v>
      </c>
      <c r="C11" s="20" t="s">
        <v>7</v>
      </c>
      <c r="D11" s="22">
        <f>630635+157658.57</f>
        <v>788293.57000000007</v>
      </c>
      <c r="E11" s="22">
        <f>694524.52+173630.97</f>
        <v>868155.49</v>
      </c>
      <c r="F11" s="22">
        <f>801568.66+200391.97</f>
        <v>1001960.63</v>
      </c>
    </row>
    <row r="12" spans="1:6" x14ac:dyDescent="0.25">
      <c r="A12" s="3" t="s">
        <v>8</v>
      </c>
      <c r="B12" s="4">
        <f>115136.52+28784.04</f>
        <v>143920.56</v>
      </c>
      <c r="C12" s="20" t="s">
        <v>50</v>
      </c>
      <c r="D12" s="22">
        <f>145193.2</f>
        <v>145193.20000000001</v>
      </c>
      <c r="E12" s="22"/>
      <c r="F12" s="22">
        <f>302473.68</f>
        <v>302473.68</v>
      </c>
    </row>
    <row r="13" spans="1:6" x14ac:dyDescent="0.25">
      <c r="A13" s="7"/>
      <c r="B13" s="8"/>
      <c r="C13" s="20" t="s">
        <v>9</v>
      </c>
      <c r="D13" s="22">
        <f>20870163.84+5217540.99</f>
        <v>26087704.829999998</v>
      </c>
      <c r="E13" s="22">
        <f>23404980.28+5851245.13</f>
        <v>29256225.41</v>
      </c>
      <c r="F13" s="22">
        <f>23707317.27+5926829.37</f>
        <v>29634146.640000001</v>
      </c>
    </row>
    <row r="14" spans="1:6" x14ac:dyDescent="0.25">
      <c r="A14" s="3" t="s">
        <v>9</v>
      </c>
      <c r="B14" s="4">
        <f>18594260.26+4648613.54-48.48</f>
        <v>23242825.32</v>
      </c>
      <c r="C14" s="20" t="s">
        <v>10</v>
      </c>
      <c r="D14" s="22">
        <f>2240722.56+560180.92</f>
        <v>2800903.48</v>
      </c>
      <c r="E14" s="22">
        <f>2340636.63+585158.55</f>
        <v>2925795.1799999997</v>
      </c>
      <c r="F14" s="22">
        <f>2436780.16+609195.4</f>
        <v>3045975.56</v>
      </c>
    </row>
    <row r="15" spans="1:6" x14ac:dyDescent="0.25">
      <c r="A15" s="3" t="s">
        <v>10</v>
      </c>
      <c r="B15" s="4">
        <f>1816467.75+454117.18</f>
        <v>2270584.9300000002</v>
      </c>
      <c r="C15" s="20" t="s">
        <v>11</v>
      </c>
      <c r="D15" s="22">
        <f>305068.75+76267.24</f>
        <v>381335.99</v>
      </c>
      <c r="E15" s="22">
        <f>346620.29+86655.11</f>
        <v>433275.39999999997</v>
      </c>
      <c r="F15" s="22">
        <f>337653.64+84413.43</f>
        <v>422067.07</v>
      </c>
    </row>
    <row r="16" spans="1:6" x14ac:dyDescent="0.25">
      <c r="A16" s="3" t="s">
        <v>11</v>
      </c>
      <c r="B16" s="4">
        <f>280968.44+70242.15</f>
        <v>351210.58999999997</v>
      </c>
      <c r="C16" s="19" t="s">
        <v>25</v>
      </c>
      <c r="D16" s="21">
        <f>17827106.63</f>
        <v>17827106.629999999</v>
      </c>
      <c r="E16" s="21">
        <f>18421204.78</f>
        <v>18421204.780000001</v>
      </c>
      <c r="F16" s="21">
        <f>20113480.93</f>
        <v>20113480.93</v>
      </c>
    </row>
    <row r="17" spans="1:6" x14ac:dyDescent="0.25">
      <c r="A17" s="3" t="s">
        <v>12</v>
      </c>
      <c r="B17" s="4"/>
      <c r="D17" s="23">
        <f>SUM(D4:D16)</f>
        <v>79530810.719999999</v>
      </c>
      <c r="E17" s="23">
        <f>SUM(E4:E16)</f>
        <v>87186105.860000014</v>
      </c>
      <c r="F17" s="23">
        <f>SUM(F4:F16)</f>
        <v>86977375.820000008</v>
      </c>
    </row>
    <row r="18" spans="1:6" x14ac:dyDescent="0.25">
      <c r="A18" s="3" t="s">
        <v>13</v>
      </c>
      <c r="B18" s="4">
        <v>24046.36</v>
      </c>
    </row>
    <row r="19" spans="1:6" x14ac:dyDescent="0.25">
      <c r="A19" s="3" t="s">
        <v>14</v>
      </c>
      <c r="B19" s="4">
        <v>0</v>
      </c>
    </row>
    <row r="20" spans="1:6" x14ac:dyDescent="0.25">
      <c r="A20" s="3" t="s">
        <v>15</v>
      </c>
      <c r="B20" s="4">
        <v>39846.550000000003</v>
      </c>
    </row>
    <row r="21" spans="1:6" x14ac:dyDescent="0.25">
      <c r="A21" s="9"/>
      <c r="B21" s="8"/>
    </row>
    <row r="22" spans="1:6" x14ac:dyDescent="0.25">
      <c r="A22" s="3" t="s">
        <v>16</v>
      </c>
      <c r="B22" s="4">
        <v>138215.07</v>
      </c>
    </row>
    <row r="23" spans="1:6" x14ac:dyDescent="0.25">
      <c r="A23" s="3" t="s">
        <v>17</v>
      </c>
      <c r="B23" s="8"/>
    </row>
    <row r="24" spans="1:6" x14ac:dyDescent="0.25">
      <c r="A24" s="3" t="s">
        <v>18</v>
      </c>
      <c r="B24" s="4">
        <v>10641.5</v>
      </c>
    </row>
    <row r="25" spans="1:6" x14ac:dyDescent="0.25">
      <c r="A25" s="3" t="s">
        <v>19</v>
      </c>
      <c r="B25" s="4">
        <v>409922.27</v>
      </c>
    </row>
    <row r="26" spans="1:6" x14ac:dyDescent="0.25">
      <c r="A26" s="3" t="s">
        <v>20</v>
      </c>
      <c r="B26" s="10"/>
    </row>
    <row r="27" spans="1:6" x14ac:dyDescent="0.25">
      <c r="A27" s="3" t="s">
        <v>21</v>
      </c>
      <c r="B27" s="4">
        <v>58849.21</v>
      </c>
    </row>
    <row r="28" spans="1:6" x14ac:dyDescent="0.25">
      <c r="A28" s="11" t="s">
        <v>22</v>
      </c>
      <c r="B28" s="12">
        <f>SUM(B4:B27)</f>
        <v>55879671.410000011</v>
      </c>
    </row>
    <row r="30" spans="1:6" x14ac:dyDescent="0.25">
      <c r="B30" s="1" t="s">
        <v>24</v>
      </c>
      <c r="C30" s="1" t="s">
        <v>25</v>
      </c>
      <c r="D30" s="1" t="s">
        <v>26</v>
      </c>
    </row>
    <row r="31" spans="1:6" x14ac:dyDescent="0.25">
      <c r="A31" s="3" t="s">
        <v>23</v>
      </c>
      <c r="B31" s="4">
        <f>1386.93</f>
        <v>1386.93</v>
      </c>
      <c r="C31" s="4">
        <f>48257.64</f>
        <v>48257.64</v>
      </c>
      <c r="D31" s="4">
        <f>2404.56</f>
        <v>2404.56</v>
      </c>
    </row>
    <row r="32" spans="1:6" x14ac:dyDescent="0.25">
      <c r="A32" s="3" t="s">
        <v>23</v>
      </c>
      <c r="B32" s="4">
        <f>602.35</f>
        <v>602.35</v>
      </c>
      <c r="C32" s="4">
        <v>17054.18</v>
      </c>
      <c r="D32" s="4">
        <f>476.73</f>
        <v>476.73</v>
      </c>
    </row>
    <row r="33" spans="1:5" x14ac:dyDescent="0.25">
      <c r="A33" s="3" t="s">
        <v>23</v>
      </c>
      <c r="B33" s="4">
        <f>317.53</f>
        <v>317.52999999999997</v>
      </c>
      <c r="C33" s="4">
        <f>7480.76</f>
        <v>7480.76</v>
      </c>
      <c r="D33" s="4">
        <f>450.2</f>
        <v>450.2</v>
      </c>
    </row>
    <row r="34" spans="1:5" x14ac:dyDescent="0.25">
      <c r="A34" s="3"/>
      <c r="B34" s="4">
        <f>74.83</f>
        <v>74.83</v>
      </c>
      <c r="C34" s="4">
        <f>4110.95</f>
        <v>4110.95</v>
      </c>
      <c r="D34" s="4">
        <f>127.59</f>
        <v>127.59</v>
      </c>
    </row>
    <row r="35" spans="1:5" x14ac:dyDescent="0.25">
      <c r="A35" s="19"/>
      <c r="B35" s="10"/>
      <c r="C35" s="10"/>
      <c r="D35" s="10"/>
    </row>
    <row r="37" spans="1:5" x14ac:dyDescent="0.25">
      <c r="A37" s="13" t="s">
        <v>27</v>
      </c>
      <c r="B37" s="14">
        <v>529785.35</v>
      </c>
      <c r="C37" s="24" t="s">
        <v>51</v>
      </c>
      <c r="D37" s="25"/>
      <c r="E37" s="26"/>
    </row>
    <row r="38" spans="1:5" x14ac:dyDescent="0.25">
      <c r="A38" s="13" t="s">
        <v>28</v>
      </c>
      <c r="C38" s="27">
        <v>1935.53</v>
      </c>
      <c r="D38" s="27">
        <v>639818.66</v>
      </c>
    </row>
    <row r="39" spans="1:5" x14ac:dyDescent="0.25">
      <c r="A39" s="13" t="s">
        <v>29</v>
      </c>
      <c r="B39" s="14">
        <v>4370463.9800000004</v>
      </c>
      <c r="C39" s="24" t="s">
        <v>52</v>
      </c>
      <c r="D39" s="25"/>
      <c r="E39" s="26"/>
    </row>
    <row r="40" spans="1:5" x14ac:dyDescent="0.25">
      <c r="A40" s="13" t="s">
        <v>30</v>
      </c>
      <c r="B40" s="14">
        <v>712173.71</v>
      </c>
      <c r="C40" s="30">
        <v>767917.26</v>
      </c>
      <c r="D40" s="25"/>
      <c r="E40" s="26"/>
    </row>
    <row r="41" spans="1:5" x14ac:dyDescent="0.25">
      <c r="A41" s="13" t="s">
        <v>31</v>
      </c>
      <c r="B41" s="14">
        <v>17300</v>
      </c>
      <c r="C41" s="24" t="s">
        <v>53</v>
      </c>
      <c r="D41" s="25"/>
      <c r="E41" s="26"/>
    </row>
    <row r="42" spans="1:5" x14ac:dyDescent="0.25">
      <c r="A42" s="13" t="s">
        <v>32</v>
      </c>
      <c r="B42" s="14">
        <v>4301215.05</v>
      </c>
      <c r="C42" s="24" t="s">
        <v>54</v>
      </c>
      <c r="D42" s="25"/>
      <c r="E42" s="26"/>
    </row>
    <row r="43" spans="1:5" x14ac:dyDescent="0.25">
      <c r="A43" s="13" t="s">
        <v>33</v>
      </c>
      <c r="B43" s="14">
        <v>0</v>
      </c>
      <c r="D43" s="25"/>
      <c r="E43" s="26"/>
    </row>
    <row r="44" spans="1:5" x14ac:dyDescent="0.25">
      <c r="A44" s="28" t="s">
        <v>55</v>
      </c>
      <c r="B44" s="14"/>
      <c r="C44" s="30">
        <v>126285.97</v>
      </c>
      <c r="D44" s="25"/>
      <c r="E44" s="26"/>
    </row>
    <row r="45" spans="1:5" x14ac:dyDescent="0.25">
      <c r="A45" s="29" t="s">
        <v>56</v>
      </c>
      <c r="B45" s="14"/>
      <c r="C45" s="30">
        <v>416974.59</v>
      </c>
      <c r="D45" s="25"/>
      <c r="E45" s="26"/>
    </row>
    <row r="46" spans="1:5" x14ac:dyDescent="0.25">
      <c r="A46" s="13" t="s">
        <v>34</v>
      </c>
      <c r="B46" s="14">
        <v>1800001</v>
      </c>
      <c r="C46" s="24"/>
      <c r="D46" s="25"/>
      <c r="E46" s="26"/>
    </row>
    <row r="47" spans="1:5" x14ac:dyDescent="0.25">
      <c r="A47" s="13" t="s">
        <v>35</v>
      </c>
      <c r="B47" s="14">
        <v>60367468.189999998</v>
      </c>
      <c r="C47" s="24" t="s">
        <v>57</v>
      </c>
      <c r="D47" s="25"/>
      <c r="E47" s="26"/>
    </row>
    <row r="48" spans="1:5" x14ac:dyDescent="0.25">
      <c r="A48" s="28" t="s">
        <v>60</v>
      </c>
      <c r="C48" s="24" t="s">
        <v>58</v>
      </c>
      <c r="D48" s="25"/>
      <c r="E48" s="26"/>
    </row>
    <row r="49" spans="1:6" x14ac:dyDescent="0.25">
      <c r="A49" s="28" t="s">
        <v>61</v>
      </c>
      <c r="C49" s="24" t="s">
        <v>59</v>
      </c>
      <c r="D49" s="25"/>
      <c r="E49" s="26"/>
    </row>
    <row r="50" spans="1:6" x14ac:dyDescent="0.25">
      <c r="A50" s="28" t="s">
        <v>62</v>
      </c>
      <c r="C50" s="27">
        <v>17827106.629999999</v>
      </c>
    </row>
    <row r="51" spans="1:6" x14ac:dyDescent="0.25">
      <c r="A51" s="13" t="s">
        <v>36</v>
      </c>
      <c r="B51" s="14">
        <v>0</v>
      </c>
    </row>
    <row r="52" spans="1:6" x14ac:dyDescent="0.25">
      <c r="A52" s="13" t="s">
        <v>37</v>
      </c>
      <c r="B52" s="14">
        <v>1273689.8799999999</v>
      </c>
    </row>
    <row r="53" spans="1:6" x14ac:dyDescent="0.25">
      <c r="A53" s="13" t="s">
        <v>38</v>
      </c>
      <c r="B53" s="14">
        <v>243354.94</v>
      </c>
      <c r="C53" s="31" t="s">
        <v>63</v>
      </c>
      <c r="E53" s="25"/>
      <c r="F53" s="26"/>
    </row>
    <row r="54" spans="1:6" x14ac:dyDescent="0.25">
      <c r="A54" s="13" t="s">
        <v>39</v>
      </c>
      <c r="B54" s="14">
        <v>394526.64</v>
      </c>
      <c r="C54" s="31" t="s">
        <v>64</v>
      </c>
      <c r="E54" s="25"/>
      <c r="F54" s="26"/>
    </row>
    <row r="55" spans="1:6" x14ac:dyDescent="0.25">
      <c r="A55" s="13" t="s">
        <v>40</v>
      </c>
      <c r="B55" s="14">
        <v>536337.72</v>
      </c>
      <c r="C55" s="28"/>
      <c r="E55" s="25"/>
      <c r="F55" s="26"/>
    </row>
    <row r="56" spans="1:6" x14ac:dyDescent="0.25">
      <c r="A56" s="13" t="s">
        <v>66</v>
      </c>
      <c r="B56" s="14">
        <v>844892.5</v>
      </c>
      <c r="C56" s="31" t="s">
        <v>65</v>
      </c>
    </row>
    <row r="58" spans="1:6" x14ac:dyDescent="0.25">
      <c r="A58" s="13" t="s">
        <v>41</v>
      </c>
    </row>
    <row r="59" spans="1:6" x14ac:dyDescent="0.25">
      <c r="A59" s="13" t="s">
        <v>42</v>
      </c>
    </row>
    <row r="60" spans="1:6" x14ac:dyDescent="0.25">
      <c r="A60" s="15" t="s">
        <v>43</v>
      </c>
      <c r="B60" s="14">
        <v>8662.92</v>
      </c>
      <c r="C60" s="27">
        <v>28452.5</v>
      </c>
    </row>
    <row r="61" spans="1:6" x14ac:dyDescent="0.25">
      <c r="A61" s="13" t="s">
        <v>37</v>
      </c>
      <c r="B61" s="14">
        <v>639095.61</v>
      </c>
      <c r="C61" s="24" t="s">
        <v>67</v>
      </c>
      <c r="D61" s="25"/>
      <c r="E61" s="26"/>
    </row>
    <row r="62" spans="1:6" x14ac:dyDescent="0.25">
      <c r="A62" s="13" t="s">
        <v>69</v>
      </c>
      <c r="B62" s="14"/>
      <c r="C62" s="24" t="s">
        <v>68</v>
      </c>
      <c r="D62" s="25"/>
      <c r="E62" s="26"/>
    </row>
    <row r="63" spans="1:6" x14ac:dyDescent="0.25">
      <c r="A63" s="13" t="s">
        <v>44</v>
      </c>
      <c r="B63" s="14">
        <v>744.06</v>
      </c>
      <c r="D63" s="25"/>
      <c r="E63" s="26"/>
    </row>
    <row r="64" spans="1:6" x14ac:dyDescent="0.25">
      <c r="A64" s="13" t="s">
        <v>45</v>
      </c>
    </row>
    <row r="66" spans="1:3" ht="15.75" thickBot="1" x14ac:dyDescent="0.3">
      <c r="A66" t="s">
        <v>46</v>
      </c>
      <c r="B66" s="16">
        <v>9006323.9100000001</v>
      </c>
      <c r="C66" s="27">
        <v>11567584.17</v>
      </c>
    </row>
    <row r="67" spans="1:3" x14ac:dyDescent="0.25">
      <c r="B67" s="17">
        <v>94226501.540000007</v>
      </c>
      <c r="C67" s="27">
        <v>106013567.91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R242"/>
  <sheetViews>
    <sheetView topLeftCell="A70" workbookViewId="0">
      <selection activeCell="O30" sqref="O30"/>
    </sheetView>
  </sheetViews>
  <sheetFormatPr defaultRowHeight="8.25" x14ac:dyDescent="0.15"/>
  <cols>
    <col min="1" max="1" width="13.5703125" style="77" customWidth="1"/>
    <col min="2" max="2" width="9.7109375" style="77" bestFit="1" customWidth="1"/>
    <col min="3" max="3" width="10.5703125" style="77" bestFit="1" customWidth="1"/>
    <col min="4" max="5" width="8.85546875" style="77" bestFit="1" customWidth="1"/>
    <col min="6" max="6" width="8.7109375" style="77" bestFit="1" customWidth="1"/>
    <col min="7" max="7" width="7.5703125" style="77" bestFit="1" customWidth="1"/>
    <col min="8" max="8" width="10.85546875" style="77" bestFit="1" customWidth="1"/>
    <col min="9" max="11" width="8.7109375" style="77" bestFit="1" customWidth="1"/>
    <col min="12" max="12" width="7.42578125" style="77" bestFit="1" customWidth="1"/>
    <col min="13" max="13" width="9" style="77" bestFit="1" customWidth="1"/>
    <col min="14" max="14" width="7.85546875" style="77" bestFit="1" customWidth="1"/>
    <col min="15" max="15" width="7.5703125" style="77" bestFit="1" customWidth="1"/>
    <col min="16" max="16" width="9.140625" style="77"/>
    <col min="17" max="17" width="7.7109375" style="77" bestFit="1" customWidth="1"/>
    <col min="18" max="16384" width="9.140625" style="77"/>
  </cols>
  <sheetData>
    <row r="4" spans="1:14" x14ac:dyDescent="0.15">
      <c r="B4" s="112" t="s">
        <v>610</v>
      </c>
    </row>
    <row r="6" spans="1:14" s="80" customFormat="1" x14ac:dyDescent="0.15">
      <c r="A6" s="144" t="s">
        <v>611</v>
      </c>
      <c r="C6" s="80" t="s">
        <v>164</v>
      </c>
      <c r="D6" s="80" t="s">
        <v>24</v>
      </c>
      <c r="E6" s="80" t="s">
        <v>26</v>
      </c>
      <c r="F6" s="80" t="s">
        <v>165</v>
      </c>
    </row>
    <row r="7" spans="1:14" x14ac:dyDescent="0.15">
      <c r="C7" s="81">
        <v>0.6</v>
      </c>
      <c r="D7" s="81">
        <v>0.25</v>
      </c>
      <c r="E7" s="81">
        <v>0.15</v>
      </c>
      <c r="F7" s="81">
        <v>1</v>
      </c>
      <c r="H7" s="81"/>
      <c r="I7" s="81"/>
      <c r="J7" s="81"/>
      <c r="K7" s="81"/>
      <c r="L7" s="81"/>
      <c r="M7" s="81"/>
      <c r="N7" s="81"/>
    </row>
    <row r="8" spans="1:14" x14ac:dyDescent="0.15">
      <c r="A8" s="77" t="s">
        <v>2</v>
      </c>
      <c r="B8" s="77" t="s">
        <v>166</v>
      </c>
      <c r="C8" s="78">
        <f>F8*C7</f>
        <v>1688816.382</v>
      </c>
      <c r="D8" s="78">
        <f>F8*D7</f>
        <v>703673.49250000005</v>
      </c>
      <c r="E8" s="78">
        <f>F8*E7</f>
        <v>422204.0955</v>
      </c>
      <c r="F8" s="82">
        <v>2814693.97</v>
      </c>
      <c r="G8" s="79">
        <f>F8/B45</f>
        <v>0.80691131124088544</v>
      </c>
      <c r="H8" s="83"/>
    </row>
    <row r="9" spans="1:14" x14ac:dyDescent="0.15">
      <c r="C9" s="78">
        <f>F9*C7</f>
        <v>1895387.1477017386</v>
      </c>
      <c r="D9" s="78">
        <f>F9*D7</f>
        <v>789744.64487572445</v>
      </c>
      <c r="E9" s="78">
        <f>F9*E7</f>
        <v>473846.78692543466</v>
      </c>
      <c r="F9" s="78">
        <f>G8*C45</f>
        <v>3158978.5795028978</v>
      </c>
      <c r="G9" s="79">
        <f>F9/C45</f>
        <v>0.80691131124088544</v>
      </c>
    </row>
    <row r="10" spans="1:14" x14ac:dyDescent="0.15">
      <c r="C10" s="78">
        <f>F10*C7</f>
        <v>1535914.0783386107</v>
      </c>
      <c r="D10" s="78">
        <f>F10*D7</f>
        <v>639964.19930775452</v>
      </c>
      <c r="E10" s="78">
        <f>F10*E7</f>
        <v>383978.51958465268</v>
      </c>
      <c r="F10" s="78">
        <f>G8*D45</f>
        <v>2559856.7972310181</v>
      </c>
      <c r="G10" s="79">
        <f>F10/D45</f>
        <v>0.80691131124088544</v>
      </c>
    </row>
    <row r="11" spans="1:14" x14ac:dyDescent="0.15">
      <c r="C11" s="78">
        <f>F11*C7</f>
        <v>1785573.4533483903</v>
      </c>
      <c r="D11" s="78">
        <f>F11*D7</f>
        <v>743988.93889516266</v>
      </c>
      <c r="E11" s="78">
        <f>F11*E7</f>
        <v>446393.36333709757</v>
      </c>
      <c r="F11" s="78">
        <f>G8*E45</f>
        <v>2975955.7555806506</v>
      </c>
      <c r="G11" s="79">
        <f>F11/E45</f>
        <v>0.80691131124088544</v>
      </c>
    </row>
    <row r="12" spans="1:14" x14ac:dyDescent="0.15">
      <c r="C12" s="78">
        <f>F12*C7</f>
        <v>1836118.1191022792</v>
      </c>
      <c r="D12" s="78">
        <f>F12*D7</f>
        <v>765049.21629261633</v>
      </c>
      <c r="E12" s="78">
        <f>F12*E7</f>
        <v>459029.5297755698</v>
      </c>
      <c r="F12" s="78">
        <f>G8*F45</f>
        <v>3060196.8651704653</v>
      </c>
      <c r="G12" s="79">
        <f>F12/F45</f>
        <v>0.80691131124088544</v>
      </c>
    </row>
    <row r="13" spans="1:14" x14ac:dyDescent="0.15">
      <c r="F13" s="78"/>
      <c r="G13" s="79"/>
    </row>
    <row r="14" spans="1:14" x14ac:dyDescent="0.15">
      <c r="B14" s="77" t="s">
        <v>167</v>
      </c>
      <c r="C14" s="83">
        <f>F14*C7</f>
        <v>90730.175999999992</v>
      </c>
      <c r="D14" s="83">
        <f>F14*D7</f>
        <v>37804.239999999998</v>
      </c>
      <c r="E14" s="83">
        <f>F14*E7</f>
        <v>22682.543999999998</v>
      </c>
      <c r="F14" s="78">
        <v>151216.95999999999</v>
      </c>
      <c r="G14" s="79">
        <f>F14/B45</f>
        <v>4.3350601087002186E-2</v>
      </c>
    </row>
    <row r="15" spans="1:14" x14ac:dyDescent="0.15">
      <c r="C15" s="83">
        <f>F15*C7</f>
        <v>101828.00885402397</v>
      </c>
      <c r="D15" s="83">
        <f>F15*D7</f>
        <v>42428.337022509986</v>
      </c>
      <c r="E15" s="83">
        <f>F15*E7</f>
        <v>25457.002213505992</v>
      </c>
      <c r="F15" s="78">
        <f>G14*C45</f>
        <v>169713.34809003994</v>
      </c>
      <c r="G15" s="79">
        <f>F15/C45</f>
        <v>4.3350601087002186E-2</v>
      </c>
    </row>
    <row r="16" spans="1:14" x14ac:dyDescent="0.15">
      <c r="C16" s="83">
        <f>F16*C7</f>
        <v>82515.634105531717</v>
      </c>
      <c r="D16" s="83">
        <f>F16*D7</f>
        <v>34381.514210638219</v>
      </c>
      <c r="E16" s="83">
        <f>F16*E7</f>
        <v>20628.908526382929</v>
      </c>
      <c r="F16" s="78">
        <f>G14*D45</f>
        <v>137526.05684255288</v>
      </c>
      <c r="G16" s="79">
        <f>F16/D45</f>
        <v>4.3350601087002179E-2</v>
      </c>
    </row>
    <row r="17" spans="2:7" x14ac:dyDescent="0.15">
      <c r="C17" s="83">
        <f>F17*C7</f>
        <v>95928.364628587078</v>
      </c>
      <c r="D17" s="83">
        <f>F17*D7</f>
        <v>39970.15192857795</v>
      </c>
      <c r="E17" s="83">
        <f>F17*E7</f>
        <v>23982.09115714677</v>
      </c>
      <c r="F17" s="78">
        <f>G14*E45</f>
        <v>159880.6077143118</v>
      </c>
      <c r="G17" s="79">
        <f>F17/E45</f>
        <v>4.3350601087002186E-2</v>
      </c>
    </row>
    <row r="18" spans="2:7" x14ac:dyDescent="0.15">
      <c r="C18" s="83">
        <f>F18*C7</f>
        <v>98643.832377828454</v>
      </c>
      <c r="D18" s="83">
        <f>F18*D7</f>
        <v>41101.596824095192</v>
      </c>
      <c r="E18" s="83">
        <f>F18*E7</f>
        <v>24660.958094457113</v>
      </c>
      <c r="F18" s="78">
        <f>G14*F45</f>
        <v>164406.38729638077</v>
      </c>
      <c r="G18" s="79">
        <f>F18/F45</f>
        <v>4.3350601087002186E-2</v>
      </c>
    </row>
    <row r="19" spans="2:7" x14ac:dyDescent="0.15">
      <c r="F19" s="78"/>
      <c r="G19" s="79"/>
    </row>
    <row r="20" spans="2:7" x14ac:dyDescent="0.15">
      <c r="B20" s="77" t="s">
        <v>168</v>
      </c>
      <c r="C20" s="78">
        <f>F20*C7</f>
        <v>260732.32799999998</v>
      </c>
      <c r="D20" s="78">
        <f>F20*D7</f>
        <v>108638.47</v>
      </c>
      <c r="E20" s="78">
        <f>F20*E7</f>
        <v>65183.081999999995</v>
      </c>
      <c r="F20" s="78">
        <f>434553.88*F7</f>
        <v>434553.88</v>
      </c>
      <c r="G20" s="79">
        <f>F20/B45</f>
        <v>0.12457711028372095</v>
      </c>
    </row>
    <row r="21" spans="2:7" x14ac:dyDescent="0.15">
      <c r="C21" s="83">
        <f>F21*C7</f>
        <v>292624.2951861383</v>
      </c>
      <c r="D21" s="83">
        <f>F21*D7</f>
        <v>121926.78966089097</v>
      </c>
      <c r="E21" s="83">
        <f>F21*E7</f>
        <v>73156.073796534576</v>
      </c>
      <c r="F21" s="78">
        <f>G20*C45</f>
        <v>487707.15864356386</v>
      </c>
      <c r="G21" s="79">
        <f>F21/C45</f>
        <v>0.12457711028372095</v>
      </c>
    </row>
    <row r="22" spans="2:7" x14ac:dyDescent="0.15">
      <c r="C22" s="83">
        <f>F22*C7</f>
        <v>237126.10649770466</v>
      </c>
      <c r="D22" s="83">
        <f>F22*D7</f>
        <v>98802.544374043617</v>
      </c>
      <c r="E22" s="83">
        <f>F22*E7</f>
        <v>59281.526624426166</v>
      </c>
      <c r="F22" s="78">
        <f>G20*D45</f>
        <v>395210.17749617447</v>
      </c>
      <c r="G22" s="79">
        <f>F22/D45</f>
        <v>0.12457711028372095</v>
      </c>
    </row>
    <row r="23" spans="2:7" x14ac:dyDescent="0.15">
      <c r="C23" s="83">
        <f>F23*C7</f>
        <v>275670.42117105966</v>
      </c>
      <c r="D23" s="83">
        <f>F23*D7</f>
        <v>114862.67548794152</v>
      </c>
      <c r="E23" s="83">
        <f>F23*E7</f>
        <v>68917.605292764914</v>
      </c>
      <c r="F23" s="78">
        <f>G20*E45</f>
        <v>459450.7019517661</v>
      </c>
      <c r="G23" s="79">
        <f>F23/E45</f>
        <v>0.12457711028372095</v>
      </c>
    </row>
    <row r="24" spans="2:7" x14ac:dyDescent="0.15">
      <c r="C24" s="83">
        <f>F24*C7</f>
        <v>283473.89140645985</v>
      </c>
      <c r="D24" s="83">
        <f>F24*D7</f>
        <v>118114.12141935829</v>
      </c>
      <c r="E24" s="83">
        <f>F24*E7</f>
        <v>70868.472851614963</v>
      </c>
      <c r="F24" s="78">
        <f>G20*F45</f>
        <v>472456.48567743314</v>
      </c>
      <c r="G24" s="79">
        <f>F24/F45</f>
        <v>0.12457711028372095</v>
      </c>
    </row>
    <row r="25" spans="2:7" x14ac:dyDescent="0.15">
      <c r="F25" s="78"/>
      <c r="G25" s="79"/>
    </row>
    <row r="26" spans="2:7" x14ac:dyDescent="0.15">
      <c r="B26" s="77" t="s">
        <v>169</v>
      </c>
      <c r="C26" s="78">
        <f>F26*C7</f>
        <v>21065.969999999998</v>
      </c>
      <c r="D26" s="78">
        <f>F26*D7</f>
        <v>8777.4874999999993</v>
      </c>
      <c r="E26" s="78">
        <f>F26*E7</f>
        <v>5266.4924999999994</v>
      </c>
      <c r="F26" s="78">
        <v>35109.949999999997</v>
      </c>
      <c r="G26" s="79">
        <f>F26/B45</f>
        <v>1.0065256150068038E-2</v>
      </c>
    </row>
    <row r="27" spans="2:7" x14ac:dyDescent="0.15">
      <c r="C27" s="83">
        <f>F27*C7</f>
        <v>23642.693911214312</v>
      </c>
      <c r="D27" s="83">
        <f>F27*D7</f>
        <v>9851.1224630059642</v>
      </c>
      <c r="E27" s="83">
        <f>F27*E7</f>
        <v>5910.673477803578</v>
      </c>
      <c r="F27" s="78">
        <f>G26*C45</f>
        <v>39404.489852023857</v>
      </c>
      <c r="G27" s="79">
        <f>F27/C45</f>
        <v>1.0065256150068038E-2</v>
      </c>
    </row>
    <row r="28" spans="2:7" x14ac:dyDescent="0.15">
      <c r="C28" s="83">
        <f>F28*C7</f>
        <v>19158.696138736777</v>
      </c>
      <c r="D28" s="83">
        <f>F28*D7</f>
        <v>7982.7900578069912</v>
      </c>
      <c r="E28" s="83">
        <f>F28*E7</f>
        <v>4789.6740346841943</v>
      </c>
      <c r="F28" s="78">
        <f>G26*D45</f>
        <v>31931.160231227965</v>
      </c>
      <c r="G28" s="79">
        <f>F28/D45</f>
        <v>1.0065256150068038E-2</v>
      </c>
    </row>
    <row r="29" spans="2:7" x14ac:dyDescent="0.15">
      <c r="C29" s="83">
        <f>F29*C7</f>
        <v>22272.899056372124</v>
      </c>
      <c r="D29" s="83">
        <f>F29*D7</f>
        <v>9280.3746068217188</v>
      </c>
      <c r="E29" s="83">
        <f>F29*E7</f>
        <v>5568.2247640930309</v>
      </c>
      <c r="F29" s="78">
        <f>G26*E45</f>
        <v>37121.498427286875</v>
      </c>
      <c r="G29" s="79">
        <f>F29/E45</f>
        <v>1.0065256150068038E-2</v>
      </c>
    </row>
    <row r="30" spans="2:7" x14ac:dyDescent="0.15">
      <c r="C30" s="83">
        <f>F30*C7</f>
        <v>22903.383473612605</v>
      </c>
      <c r="D30" s="83">
        <f>F30*D7</f>
        <v>9543.0764473385861</v>
      </c>
      <c r="E30" s="83">
        <f>F30*E7</f>
        <v>5725.8458684031511</v>
      </c>
      <c r="F30" s="78">
        <f>G26*F45</f>
        <v>38172.305789354345</v>
      </c>
      <c r="G30" s="79">
        <f>F30/F45</f>
        <v>1.0065256150068038E-2</v>
      </c>
    </row>
    <row r="31" spans="2:7" x14ac:dyDescent="0.15">
      <c r="F31" s="78"/>
      <c r="G31" s="79"/>
    </row>
    <row r="32" spans="2:7" x14ac:dyDescent="0.15">
      <c r="B32" s="77" t="s">
        <v>170</v>
      </c>
      <c r="C32" s="78">
        <f>F32*C7</f>
        <v>31327.433999999997</v>
      </c>
      <c r="D32" s="78">
        <f>F32*D7</f>
        <v>13053.0975</v>
      </c>
      <c r="E32" s="78">
        <f>F32*E7</f>
        <v>7831.8584999999994</v>
      </c>
      <c r="F32" s="78">
        <f>52212.39</f>
        <v>52212.39</v>
      </c>
      <c r="G32" s="79">
        <f>F32/B45</f>
        <v>1.4968152320275332E-2</v>
      </c>
    </row>
    <row r="33" spans="1:7" x14ac:dyDescent="0.15">
      <c r="C33" s="83">
        <f>F33*C7</f>
        <v>35159.308262841361</v>
      </c>
      <c r="D33" s="83">
        <f>F33*D7</f>
        <v>14649.711776183902</v>
      </c>
      <c r="E33" s="83">
        <f>F33*E7</f>
        <v>8789.8270657103403</v>
      </c>
      <c r="F33" s="78">
        <f>G32*C45</f>
        <v>58598.847104735607</v>
      </c>
      <c r="G33" s="79">
        <f>F33/C45</f>
        <v>1.4968152320275332E-2</v>
      </c>
    </row>
    <row r="34" spans="1:7" x14ac:dyDescent="0.15">
      <c r="C34" s="83">
        <f>F34*C7</f>
        <v>28491.106215964955</v>
      </c>
      <c r="D34" s="83">
        <f>F34*D7</f>
        <v>11871.294256652065</v>
      </c>
      <c r="E34" s="83">
        <f>F34*E7</f>
        <v>7122.7765539912389</v>
      </c>
      <c r="F34" s="78">
        <f>G32*D45</f>
        <v>47485.17702660826</v>
      </c>
      <c r="G34" s="79">
        <f>F34/D45</f>
        <v>1.4968152320275332E-2</v>
      </c>
    </row>
    <row r="35" spans="1:7" x14ac:dyDescent="0.15">
      <c r="C35" s="83">
        <f>F35*C7</f>
        <v>33122.271377826888</v>
      </c>
      <c r="D35" s="83">
        <f>F35*D7</f>
        <v>13800.946407427871</v>
      </c>
      <c r="E35" s="83">
        <f>F35*E7</f>
        <v>8280.567844456722</v>
      </c>
      <c r="F35" s="78">
        <f>G32*E45</f>
        <v>55203.785629711485</v>
      </c>
      <c r="G35" s="79">
        <f>F35/E45</f>
        <v>1.4968152320275332E-2</v>
      </c>
    </row>
    <row r="36" spans="1:7" x14ac:dyDescent="0.15">
      <c r="C36" s="83">
        <f>F36*C7</f>
        <v>34059.871638775221</v>
      </c>
      <c r="D36" s="83">
        <f>F36*D7</f>
        <v>14191.613182823008</v>
      </c>
      <c r="E36" s="83">
        <f>F36*E7</f>
        <v>8514.9679096938053</v>
      </c>
      <c r="F36" s="78">
        <f>G32*F45</f>
        <v>56766.452731292033</v>
      </c>
      <c r="G36" s="79">
        <f>F36/F45</f>
        <v>1.4968152320275332E-2</v>
      </c>
    </row>
    <row r="37" spans="1:7" x14ac:dyDescent="0.15">
      <c r="F37" s="78"/>
      <c r="G37" s="79"/>
    </row>
    <row r="38" spans="1:7" x14ac:dyDescent="0.15">
      <c r="B38" s="77" t="s">
        <v>171</v>
      </c>
      <c r="C38" s="78">
        <f>F38*C7</f>
        <v>266.99399999999997</v>
      </c>
      <c r="D38" s="78">
        <f>F38*D7</f>
        <v>111.2475</v>
      </c>
      <c r="E38" s="78">
        <f>F38*E7</f>
        <v>66.748499999999993</v>
      </c>
      <c r="F38" s="78">
        <v>444.99</v>
      </c>
      <c r="G38" s="79">
        <f>F38/B45</f>
        <v>1.2756891804798287E-4</v>
      </c>
    </row>
    <row r="39" spans="1:7" x14ac:dyDescent="0.15">
      <c r="C39" s="83">
        <f>F39*C7</f>
        <v>299.65187542423894</v>
      </c>
      <c r="D39" s="83">
        <f>F39*D7</f>
        <v>124.8549480934329</v>
      </c>
      <c r="E39" s="83">
        <f>F39*E7</f>
        <v>74.912968856059734</v>
      </c>
      <c r="F39" s="78">
        <f>G38*C45</f>
        <v>499.41979237373158</v>
      </c>
      <c r="G39" s="79">
        <f>F39/C45</f>
        <v>1.2756891804798287E-4</v>
      </c>
    </row>
    <row r="40" spans="1:7" x14ac:dyDescent="0.15">
      <c r="C40" s="83">
        <f>F40*C7</f>
        <v>242.82085832581589</v>
      </c>
      <c r="D40" s="83">
        <f>F40*D7</f>
        <v>101.17535763575663</v>
      </c>
      <c r="E40" s="83">
        <f>F40*E7</f>
        <v>60.705214581453973</v>
      </c>
      <c r="F40" s="78">
        <f>G38*D45</f>
        <v>404.7014305430265</v>
      </c>
      <c r="G40" s="79">
        <f>F40/D45</f>
        <v>1.2756891804798287E-4</v>
      </c>
    </row>
    <row r="41" spans="1:7" x14ac:dyDescent="0.15">
      <c r="C41" s="83">
        <f>F41*C7</f>
        <v>282.29084208593378</v>
      </c>
      <c r="D41" s="83">
        <f>F41*D7</f>
        <v>117.62118420247242</v>
      </c>
      <c r="E41" s="83">
        <f>F41*E7</f>
        <v>70.572710521483444</v>
      </c>
      <c r="F41" s="78">
        <f>G38*E45</f>
        <v>470.48473680988968</v>
      </c>
      <c r="G41" s="79">
        <f>F41/E45</f>
        <v>1.2756891804798287E-4</v>
      </c>
    </row>
    <row r="42" spans="1:7" x14ac:dyDescent="0.15">
      <c r="C42" s="83">
        <f>F42*C7</f>
        <v>290.28171820019321</v>
      </c>
      <c r="D42" s="83">
        <f>F42*D7</f>
        <v>120.95071591674717</v>
      </c>
      <c r="E42" s="83">
        <f>F42*E7</f>
        <v>72.570429550048303</v>
      </c>
      <c r="F42" s="78">
        <f>G38*F45</f>
        <v>483.80286366698869</v>
      </c>
      <c r="G42" s="79">
        <f>F42/F45</f>
        <v>1.2756891804798287E-4</v>
      </c>
    </row>
    <row r="43" spans="1:7" x14ac:dyDescent="0.15">
      <c r="B43" s="84">
        <v>2021</v>
      </c>
      <c r="C43" s="84">
        <v>2022</v>
      </c>
      <c r="D43" s="84">
        <v>2023</v>
      </c>
      <c r="E43" s="84">
        <v>2024</v>
      </c>
      <c r="F43" s="84">
        <v>2025</v>
      </c>
      <c r="G43" s="79"/>
    </row>
    <row r="44" spans="1:7" x14ac:dyDescent="0.15">
      <c r="B44" s="44" t="s">
        <v>136</v>
      </c>
      <c r="C44" s="36" t="s">
        <v>89</v>
      </c>
      <c r="D44" s="36" t="s">
        <v>89</v>
      </c>
      <c r="E44" s="36" t="s">
        <v>89</v>
      </c>
      <c r="F44" s="36" t="s">
        <v>89</v>
      </c>
      <c r="G44" s="79"/>
    </row>
    <row r="45" spans="1:7" x14ac:dyDescent="0.15">
      <c r="B45" s="78">
        <f>F8+F14+F20+F26+F32+F38</f>
        <v>3488232.1400000006</v>
      </c>
      <c r="C45" s="83">
        <f>'Tabela 01'!I7</f>
        <v>3914901.8429856352</v>
      </c>
      <c r="D45" s="83">
        <f>'Tabela 01'!J7</f>
        <v>3172414.0702581247</v>
      </c>
      <c r="E45" s="83">
        <f>'Tabela 01'!K7</f>
        <v>3688082.834040537</v>
      </c>
      <c r="F45" s="83">
        <f>'Tabela 01'!L7</f>
        <v>3792482.2995285927</v>
      </c>
      <c r="G45" s="85">
        <f>G8+G14+G20+G26+G32+G38</f>
        <v>1</v>
      </c>
    </row>
    <row r="46" spans="1:7" x14ac:dyDescent="0.15">
      <c r="B46" s="83">
        <f>3488232.14-B45</f>
        <v>0</v>
      </c>
      <c r="C46" s="85">
        <f>G9+G15+G21+G27+G33+G39</f>
        <v>1</v>
      </c>
      <c r="D46" s="85">
        <f>G10+G16+G22+G28+G34+G40</f>
        <v>1</v>
      </c>
      <c r="E46" s="85">
        <f>G11+G17+G23+G29+G35+G41</f>
        <v>1</v>
      </c>
      <c r="F46" s="85">
        <f>G12+G18+G24+G30+G36+G42</f>
        <v>1</v>
      </c>
    </row>
    <row r="47" spans="1:7" x14ac:dyDescent="0.15">
      <c r="B47" s="83"/>
      <c r="C47" s="81">
        <v>0.6</v>
      </c>
      <c r="D47" s="81">
        <v>0.25</v>
      </c>
      <c r="E47" s="81">
        <v>0.15</v>
      </c>
      <c r="F47" s="81">
        <v>1</v>
      </c>
    </row>
    <row r="48" spans="1:7" x14ac:dyDescent="0.15">
      <c r="A48" s="77" t="s">
        <v>1</v>
      </c>
      <c r="B48" s="86" t="s">
        <v>423</v>
      </c>
      <c r="C48" s="78">
        <f>F48*C47</f>
        <v>1900491.9479999999</v>
      </c>
      <c r="D48" s="78">
        <f>F48*D47</f>
        <v>791871.64500000002</v>
      </c>
      <c r="E48" s="78">
        <f>F48*E47</f>
        <v>475122.98699999996</v>
      </c>
      <c r="F48" s="82">
        <v>3167486.58</v>
      </c>
      <c r="G48" s="87">
        <f>F48/B72</f>
        <v>0.78452577128293755</v>
      </c>
    </row>
    <row r="49" spans="2:7" x14ac:dyDescent="0.15">
      <c r="C49" s="78">
        <f>F49*C47</f>
        <v>1632365.6146690671</v>
      </c>
      <c r="D49" s="78">
        <f>F49*D47</f>
        <v>680152.33944544464</v>
      </c>
      <c r="E49" s="78">
        <f>F49*E47</f>
        <v>408091.40366726677</v>
      </c>
      <c r="F49" s="78">
        <f>G48*C72</f>
        <v>2720609.3577817786</v>
      </c>
      <c r="G49" s="79">
        <f>F49/C72</f>
        <v>0.78452577128293755</v>
      </c>
    </row>
    <row r="50" spans="2:7" x14ac:dyDescent="0.15">
      <c r="C50" s="78">
        <f>F50*C47</f>
        <v>1197700.5286016541</v>
      </c>
      <c r="D50" s="78">
        <f>F50*D47</f>
        <v>499041.88691735594</v>
      </c>
      <c r="E50" s="78">
        <f>F50*E47</f>
        <v>299425.13215041353</v>
      </c>
      <c r="F50" s="78">
        <f>G48*D72</f>
        <v>1996167.5476694237</v>
      </c>
      <c r="G50" s="79">
        <f>F50/D72</f>
        <v>0.78452577128293755</v>
      </c>
    </row>
    <row r="51" spans="2:7" x14ac:dyDescent="0.15">
      <c r="C51" s="78">
        <f>F51*C47</f>
        <v>1354222.3276068445</v>
      </c>
      <c r="D51" s="78">
        <f>F51*D47</f>
        <v>564259.30316951859</v>
      </c>
      <c r="E51" s="78">
        <f>F51*E47</f>
        <v>338555.58190171112</v>
      </c>
      <c r="F51" s="78">
        <f>G48*E72</f>
        <v>2257037.2126780744</v>
      </c>
      <c r="G51" s="79">
        <f>F51/E72</f>
        <v>0.78452577128293766</v>
      </c>
    </row>
    <row r="52" spans="2:7" x14ac:dyDescent="0.15">
      <c r="C52" s="78">
        <f>F52*C47</f>
        <v>1296167.8029660461</v>
      </c>
      <c r="D52" s="78">
        <f>F52*D47</f>
        <v>540069.91790251923</v>
      </c>
      <c r="E52" s="78">
        <f>F52*E47</f>
        <v>324041.95074151154</v>
      </c>
      <c r="F52" s="78">
        <f>G48*F72</f>
        <v>2160279.6716100769</v>
      </c>
      <c r="G52" s="79">
        <f>F52/F72</f>
        <v>0.78452577128293766</v>
      </c>
    </row>
    <row r="53" spans="2:7" x14ac:dyDescent="0.15">
      <c r="F53" s="78"/>
      <c r="G53" s="79"/>
    </row>
    <row r="54" spans="2:7" x14ac:dyDescent="0.15">
      <c r="B54" s="77" t="s">
        <v>172</v>
      </c>
      <c r="C54" s="83">
        <f>F54*C47</f>
        <v>14630.987999999999</v>
      </c>
      <c r="D54" s="83">
        <f>F54*D47</f>
        <v>6096.2449999999999</v>
      </c>
      <c r="E54" s="83">
        <f>F54*E47</f>
        <v>3657.7469999999998</v>
      </c>
      <c r="F54" s="88">
        <v>24384.98</v>
      </c>
      <c r="G54" s="85">
        <f>F54/B72</f>
        <v>6.0396925950729693E-3</v>
      </c>
    </row>
    <row r="55" spans="2:7" x14ac:dyDescent="0.15">
      <c r="C55" s="83">
        <f>F55*C47</f>
        <v>12566.810264557744</v>
      </c>
      <c r="D55" s="83">
        <f>F55*D47</f>
        <v>5236.1709435657267</v>
      </c>
      <c r="E55" s="83">
        <f>F55*E47</f>
        <v>3141.7025661394359</v>
      </c>
      <c r="F55" s="78">
        <f>G54*C72</f>
        <v>20944.683774262907</v>
      </c>
      <c r="G55" s="79">
        <f>F55/C72</f>
        <v>6.0396925950729693E-3</v>
      </c>
    </row>
    <row r="56" spans="2:7" x14ac:dyDescent="0.15">
      <c r="C56" s="83">
        <f>F56*C47</f>
        <v>9220.5294950107618</v>
      </c>
      <c r="D56" s="83">
        <f>F56*D47</f>
        <v>3841.8872895878176</v>
      </c>
      <c r="E56" s="83">
        <f>F56*E47</f>
        <v>2305.1323737526905</v>
      </c>
      <c r="F56" s="78">
        <f>G54*D72</f>
        <v>15367.54915835127</v>
      </c>
      <c r="G56" s="79">
        <f>F56/D72</f>
        <v>6.0396925950729693E-3</v>
      </c>
    </row>
    <row r="57" spans="2:7" x14ac:dyDescent="0.15">
      <c r="C57" s="83">
        <f>F57*C47</f>
        <v>10425.51674338786</v>
      </c>
      <c r="D57" s="83">
        <f>F57*D47</f>
        <v>4343.9653097449418</v>
      </c>
      <c r="E57" s="83">
        <f>F57*E47</f>
        <v>2606.3791858469649</v>
      </c>
      <c r="F57" s="78">
        <f>G54*E72</f>
        <v>17375.861238979767</v>
      </c>
      <c r="G57" s="79">
        <f>F57/E72</f>
        <v>6.0396925950729702E-3</v>
      </c>
    </row>
    <row r="58" spans="2:7" x14ac:dyDescent="0.15">
      <c r="C58" s="83">
        <f>F58*C47</f>
        <v>9978.5824355318873</v>
      </c>
      <c r="D58" s="83">
        <f>F58*D47</f>
        <v>4157.74268147162</v>
      </c>
      <c r="E58" s="83">
        <f>F58*E47</f>
        <v>2494.6456088829718</v>
      </c>
      <c r="F58" s="78">
        <f>G54*F72</f>
        <v>16630.97072588648</v>
      </c>
      <c r="G58" s="79">
        <f>F58/F72</f>
        <v>6.0396925950729693E-3</v>
      </c>
    </row>
    <row r="59" spans="2:7" x14ac:dyDescent="0.15">
      <c r="F59" s="78"/>
      <c r="G59" s="79"/>
    </row>
    <row r="60" spans="2:7" x14ac:dyDescent="0.15">
      <c r="B60" s="77" t="s">
        <v>173</v>
      </c>
      <c r="C60" s="83">
        <f>F60*C47</f>
        <v>369757.36200000002</v>
      </c>
      <c r="D60" s="83">
        <f>F60*D47</f>
        <v>154065.5675</v>
      </c>
      <c r="E60" s="83">
        <f>F60*E47</f>
        <v>92439.340500000006</v>
      </c>
      <c r="F60" s="88">
        <v>616262.27</v>
      </c>
      <c r="G60" s="85">
        <f>F60/B72</f>
        <v>0.15263636339836487</v>
      </c>
    </row>
    <row r="61" spans="2:7" x14ac:dyDescent="0.15">
      <c r="C61" s="83">
        <f>F61*C47</f>
        <v>317591.03432915086</v>
      </c>
      <c r="D61" s="83">
        <f>F61*D47</f>
        <v>132329.59763714619</v>
      </c>
      <c r="E61" s="83">
        <f>F61*E47</f>
        <v>79397.758582287715</v>
      </c>
      <c r="F61" s="78">
        <f>G60*C72</f>
        <v>529318.39054858475</v>
      </c>
      <c r="G61" s="85">
        <f>F61/C72</f>
        <v>0.15263636339836487</v>
      </c>
    </row>
    <row r="62" spans="2:7" x14ac:dyDescent="0.15">
      <c r="C62" s="83">
        <f>F62*C47</f>
        <v>233023.13297764797</v>
      </c>
      <c r="D62" s="83">
        <f>F62*D47</f>
        <v>97092.972074019985</v>
      </c>
      <c r="E62" s="83">
        <f>F62*E47</f>
        <v>58255.783244411992</v>
      </c>
      <c r="F62" s="78">
        <f>G60*D72</f>
        <v>388371.88829607994</v>
      </c>
      <c r="G62" s="85">
        <f>F62/D72</f>
        <v>0.15263636339836487</v>
      </c>
    </row>
    <row r="63" spans="2:7" x14ac:dyDescent="0.15">
      <c r="C63" s="83">
        <f>F63*C47</f>
        <v>263475.82053391926</v>
      </c>
      <c r="D63" s="83">
        <f>F63*D47</f>
        <v>109781.59188913302</v>
      </c>
      <c r="E63" s="83">
        <f>F63*E47</f>
        <v>65868.955133479816</v>
      </c>
      <c r="F63" s="78">
        <f>G60*E72</f>
        <v>439126.36755653209</v>
      </c>
      <c r="G63" s="85">
        <f>F63/E72</f>
        <v>0.15263636339836487</v>
      </c>
    </row>
    <row r="64" spans="2:7" x14ac:dyDescent="0.15">
      <c r="C64" s="83">
        <f>F64*C47</f>
        <v>252180.80404835314</v>
      </c>
      <c r="D64" s="83">
        <f>F64*D47</f>
        <v>105075.33502014715</v>
      </c>
      <c r="E64" s="83">
        <f>F64*E47</f>
        <v>63045.201012088284</v>
      </c>
      <c r="F64" s="78">
        <f>G60*F72</f>
        <v>420301.34008058859</v>
      </c>
      <c r="G64" s="85">
        <f>F64/F72</f>
        <v>0.15263636339836487</v>
      </c>
    </row>
    <row r="65" spans="1:7" x14ac:dyDescent="0.15">
      <c r="F65" s="78"/>
      <c r="G65" s="79"/>
    </row>
    <row r="66" spans="1:7" x14ac:dyDescent="0.15">
      <c r="B66" s="77" t="s">
        <v>174</v>
      </c>
      <c r="C66" s="83">
        <f>F66*C47</f>
        <v>137592</v>
      </c>
      <c r="D66" s="83">
        <f>F66*D47</f>
        <v>57330</v>
      </c>
      <c r="E66" s="83">
        <f>F66*E47</f>
        <v>34398</v>
      </c>
      <c r="F66" s="88">
        <v>229320</v>
      </c>
      <c r="G66" s="85">
        <f>F66/B72</f>
        <v>5.6798172723624682E-2</v>
      </c>
    </row>
    <row r="67" spans="1:7" x14ac:dyDescent="0.15">
      <c r="C67" s="83">
        <f>F67*C47</f>
        <v>118180.16376754796</v>
      </c>
      <c r="D67" s="83">
        <f>F67*D47</f>
        <v>49241.734903144985</v>
      </c>
      <c r="E67" s="83">
        <f>F67*E47</f>
        <v>29545.040941886989</v>
      </c>
      <c r="F67" s="78">
        <f>G66*C72</f>
        <v>196966.93961257994</v>
      </c>
      <c r="G67" s="85">
        <f>F67/C72</f>
        <v>5.6798172723624682E-2</v>
      </c>
    </row>
    <row r="68" spans="1:7" x14ac:dyDescent="0.15">
      <c r="C68" s="83">
        <f>F68*C47</f>
        <v>86711.238795187368</v>
      </c>
      <c r="D68" s="83">
        <f>F68*D47</f>
        <v>36129.682831328071</v>
      </c>
      <c r="E68" s="83">
        <f>F68*E47</f>
        <v>21677.809698796842</v>
      </c>
      <c r="F68" s="78">
        <f>G66*D72</f>
        <v>144518.73132531228</v>
      </c>
      <c r="G68" s="85">
        <f>F68/D72</f>
        <v>5.6798172723624689E-2</v>
      </c>
    </row>
    <row r="69" spans="1:7" x14ac:dyDescent="0.15">
      <c r="C69" s="83">
        <f>F69*C47</f>
        <v>98043.11914931667</v>
      </c>
      <c r="D69" s="83">
        <f>F69*D47</f>
        <v>40851.299645548614</v>
      </c>
      <c r="E69" s="83">
        <f>F69*E47</f>
        <v>24510.779787329167</v>
      </c>
      <c r="F69" s="78">
        <f>G66*E72</f>
        <v>163405.19858219445</v>
      </c>
      <c r="G69" s="85">
        <f>F69/E72</f>
        <v>5.6798172723624682E-2</v>
      </c>
    </row>
    <row r="70" spans="1:7" x14ac:dyDescent="0.15">
      <c r="C70" s="83">
        <f>F70*C47</f>
        <v>93840.082055272229</v>
      </c>
      <c r="D70" s="83">
        <f>F70*D47</f>
        <v>39100.034189696766</v>
      </c>
      <c r="E70" s="83">
        <f>F70*E47</f>
        <v>23460.020513818057</v>
      </c>
      <c r="F70" s="78">
        <f>G66*F72</f>
        <v>156400.13675878706</v>
      </c>
      <c r="G70" s="85">
        <f>F70/F72</f>
        <v>5.6798172723624675E-2</v>
      </c>
    </row>
    <row r="71" spans="1:7" x14ac:dyDescent="0.15">
      <c r="B71" s="84">
        <v>2021</v>
      </c>
      <c r="C71" s="84">
        <v>2022</v>
      </c>
      <c r="D71" s="84">
        <v>2023</v>
      </c>
      <c r="E71" s="84">
        <v>2024</v>
      </c>
      <c r="F71" s="84">
        <v>2025</v>
      </c>
      <c r="G71" s="79"/>
    </row>
    <row r="72" spans="1:7" x14ac:dyDescent="0.15">
      <c r="B72" s="83">
        <f>F48+F54+F60+F66</f>
        <v>4037453.83</v>
      </c>
      <c r="C72" s="83">
        <f>'Tabela 01'!I8</f>
        <v>3467839.3717172057</v>
      </c>
      <c r="D72" s="83">
        <f>'Tabela 01'!J8</f>
        <v>2544425.7164491671</v>
      </c>
      <c r="E72" s="83">
        <f>'Tabela 01'!K8</f>
        <v>2876944.6400557803</v>
      </c>
      <c r="F72" s="83">
        <f>'Tabela 01'!L8</f>
        <v>2753612.1191753387</v>
      </c>
      <c r="G72" s="79">
        <f>G48+G54+G60+G66</f>
        <v>1</v>
      </c>
    </row>
    <row r="73" spans="1:7" x14ac:dyDescent="0.15">
      <c r="B73" s="83">
        <f>4037453.83-B72</f>
        <v>0</v>
      </c>
    </row>
    <row r="74" spans="1:7" x14ac:dyDescent="0.15">
      <c r="B74" s="83"/>
      <c r="C74" s="81">
        <v>0.6</v>
      </c>
      <c r="D74" s="81">
        <v>0.25</v>
      </c>
      <c r="E74" s="81">
        <v>0.15</v>
      </c>
      <c r="F74" s="81">
        <v>1</v>
      </c>
    </row>
    <row r="75" spans="1:7" x14ac:dyDescent="0.15">
      <c r="A75" s="89" t="s">
        <v>3</v>
      </c>
      <c r="B75" s="86" t="s">
        <v>179</v>
      </c>
      <c r="C75" s="78">
        <f>F75*C74</f>
        <v>636508.43999999994</v>
      </c>
      <c r="D75" s="78">
        <f>F75*D74</f>
        <v>265211.84999999998</v>
      </c>
      <c r="E75" s="78">
        <f>F75*E74</f>
        <v>159127.10999999999</v>
      </c>
      <c r="F75" s="82">
        <f>1060847.4</f>
        <v>1060847.3999999999</v>
      </c>
      <c r="G75" s="87">
        <f>F75/B103</f>
        <v>0.98376154707841201</v>
      </c>
    </row>
    <row r="76" spans="1:7" x14ac:dyDescent="0.15">
      <c r="C76" s="78">
        <f>F76*C74</f>
        <v>813632.98141696595</v>
      </c>
      <c r="D76" s="78">
        <f>F76*D74</f>
        <v>339013.74225706916</v>
      </c>
      <c r="E76" s="78">
        <f>F76*E74</f>
        <v>203408.24535424149</v>
      </c>
      <c r="F76" s="78">
        <f>G75*C103</f>
        <v>1356054.9690282766</v>
      </c>
      <c r="G76" s="79">
        <f>F76/C103</f>
        <v>0.98376154707841201</v>
      </c>
    </row>
    <row r="77" spans="1:7" x14ac:dyDescent="0.15">
      <c r="C77" s="78">
        <f>F77*C74</f>
        <v>626819.34356740199</v>
      </c>
      <c r="D77" s="78">
        <f>F77*D74</f>
        <v>261174.72648641752</v>
      </c>
      <c r="E77" s="78">
        <f>F77*E74</f>
        <v>156704.8358918505</v>
      </c>
      <c r="F77" s="78">
        <f>G75*D103</f>
        <v>1044698.9059456701</v>
      </c>
      <c r="G77" s="79">
        <f>F77/D103</f>
        <v>0.98376154707841201</v>
      </c>
    </row>
    <row r="78" spans="1:7" x14ac:dyDescent="0.15">
      <c r="C78" s="78">
        <f>F78*C74</f>
        <v>699561.07724432892</v>
      </c>
      <c r="D78" s="78">
        <f>F78*D74</f>
        <v>291483.78218513704</v>
      </c>
      <c r="E78" s="78">
        <f>F78*E74</f>
        <v>174890.26931108223</v>
      </c>
      <c r="F78" s="78">
        <f>G75*E103</f>
        <v>1165935.1287405482</v>
      </c>
      <c r="G78" s="79">
        <f>F78/E103</f>
        <v>0.98376154707841201</v>
      </c>
    </row>
    <row r="79" spans="1:7" x14ac:dyDescent="0.15">
      <c r="C79" s="78">
        <f>F79*C74</f>
        <v>728466.54473295936</v>
      </c>
      <c r="D79" s="78">
        <f>F79*D74</f>
        <v>303527.72697206639</v>
      </c>
      <c r="E79" s="78">
        <f>F79*E74</f>
        <v>182116.63618323984</v>
      </c>
      <c r="F79" s="78">
        <f>G75*F103</f>
        <v>1214110.9078882656</v>
      </c>
      <c r="G79" s="79">
        <f>F79/F103</f>
        <v>0.98376154707841201</v>
      </c>
    </row>
    <row r="80" spans="1:7" x14ac:dyDescent="0.15">
      <c r="F80" s="78"/>
      <c r="G80" s="79"/>
    </row>
    <row r="81" spans="2:7" x14ac:dyDescent="0.15">
      <c r="B81" s="77" t="s">
        <v>180</v>
      </c>
      <c r="C81" s="83">
        <f>F81*C74</f>
        <v>26.855999999999998</v>
      </c>
      <c r="D81" s="83">
        <f>F81*D74</f>
        <v>11.19</v>
      </c>
      <c r="E81" s="83">
        <f>F81*E74</f>
        <v>6.7139999999999995</v>
      </c>
      <c r="F81" s="88">
        <f>44.76</f>
        <v>44.76</v>
      </c>
      <c r="G81" s="85">
        <f>F81/B103</f>
        <v>4.150754090289491E-5</v>
      </c>
    </row>
    <row r="82" spans="2:7" x14ac:dyDescent="0.15">
      <c r="C82" s="83">
        <f>F82*C74</f>
        <v>34.329359951509893</v>
      </c>
      <c r="D82" s="83">
        <f>F82*D74</f>
        <v>14.303899979795789</v>
      </c>
      <c r="E82" s="83">
        <f>F82*E74</f>
        <v>8.5823399878774733</v>
      </c>
      <c r="F82" s="78">
        <f>G81*C103</f>
        <v>57.215599919183155</v>
      </c>
      <c r="G82" s="79">
        <f>F82/C103</f>
        <v>4.150754090289491E-5</v>
      </c>
    </row>
    <row r="83" spans="2:7" x14ac:dyDescent="0.15">
      <c r="C83" s="83">
        <f>F83*C74</f>
        <v>26.447191007940361</v>
      </c>
      <c r="D83" s="83">
        <f>F83*D74</f>
        <v>11.019662919975151</v>
      </c>
      <c r="E83" s="83">
        <f>F83*E74</f>
        <v>6.6117977519850903</v>
      </c>
      <c r="F83" s="78">
        <f>G81*D103</f>
        <v>44.078651679900602</v>
      </c>
      <c r="G83" s="79">
        <f>F83/D103</f>
        <v>4.150754090289491E-5</v>
      </c>
    </row>
    <row r="84" spans="2:7" x14ac:dyDescent="0.15">
      <c r="C84" s="83">
        <f>F84*C74</f>
        <v>29.516360050895308</v>
      </c>
      <c r="D84" s="83">
        <f>F84*D74</f>
        <v>12.298483354539712</v>
      </c>
      <c r="E84" s="83">
        <f>F84*E74</f>
        <v>7.379090012723827</v>
      </c>
      <c r="F84" s="78">
        <f>G81*E103</f>
        <v>49.193933418158849</v>
      </c>
      <c r="G84" s="79">
        <f>F84/E103</f>
        <v>4.150754090289491E-5</v>
      </c>
    </row>
    <row r="85" spans="2:7" x14ac:dyDescent="0.15">
      <c r="C85" s="83">
        <f>F85*C74</f>
        <v>30.735959330481702</v>
      </c>
      <c r="D85" s="83">
        <f>F85*D74</f>
        <v>12.806649721034043</v>
      </c>
      <c r="E85" s="83">
        <f>F85*E74</f>
        <v>7.6839898326204255</v>
      </c>
      <c r="F85" s="78">
        <f>G81*F103</f>
        <v>51.226598884136173</v>
      </c>
      <c r="G85" s="79">
        <f>F85/F103</f>
        <v>4.150754090289491E-5</v>
      </c>
    </row>
    <row r="86" spans="2:7" x14ac:dyDescent="0.15">
      <c r="F86" s="78"/>
      <c r="G86" s="79"/>
    </row>
    <row r="87" spans="2:7" x14ac:dyDescent="0.15">
      <c r="B87" s="77" t="s">
        <v>181</v>
      </c>
      <c r="C87" s="83">
        <f>F87*C74</f>
        <v>10360.517999999998</v>
      </c>
      <c r="D87" s="83">
        <f>F87*D74</f>
        <v>4316.8824999999997</v>
      </c>
      <c r="E87" s="83">
        <f>F87*E74</f>
        <v>2590.1294999999996</v>
      </c>
      <c r="F87" s="88">
        <f>17267.53</f>
        <v>17267.53</v>
      </c>
      <c r="G87" s="85">
        <f>F87/B103</f>
        <v>1.6012795079690906E-2</v>
      </c>
    </row>
    <row r="88" spans="2:7" x14ac:dyDescent="0.15">
      <c r="C88" s="83">
        <f>F88*C74</f>
        <v>13243.593673894004</v>
      </c>
      <c r="D88" s="83">
        <f>F88*D74</f>
        <v>5518.1640307891685</v>
      </c>
      <c r="E88" s="83">
        <f>F88*E74</f>
        <v>3310.8984184735009</v>
      </c>
      <c r="F88" s="78">
        <f>G87*C103</f>
        <v>22072.656123156674</v>
      </c>
      <c r="G88" s="85">
        <f>F88/C103</f>
        <v>1.6012795079690906E-2</v>
      </c>
    </row>
    <row r="89" spans="2:7" x14ac:dyDescent="0.15">
      <c r="C89" s="83">
        <f>F89*C74</f>
        <v>10202.807509949518</v>
      </c>
      <c r="D89" s="83">
        <f>F89*D74</f>
        <v>4251.1697958122995</v>
      </c>
      <c r="E89" s="83">
        <f>F89*E74</f>
        <v>2550.7018774873795</v>
      </c>
      <c r="F89" s="78">
        <f>G87*D103</f>
        <v>17004.679183249198</v>
      </c>
      <c r="G89" s="85">
        <f>F89/D103</f>
        <v>1.6012795079690906E-2</v>
      </c>
    </row>
    <row r="90" spans="2:7" x14ac:dyDescent="0.15">
      <c r="C90" s="83">
        <f>F90*C74</f>
        <v>11386.832722735397</v>
      </c>
      <c r="D90" s="83">
        <f>F90*D74</f>
        <v>4744.5136344730818</v>
      </c>
      <c r="E90" s="83">
        <f>F90*E74</f>
        <v>2846.7081806838492</v>
      </c>
      <c r="F90" s="78">
        <f>G87*E103</f>
        <v>18978.054537892327</v>
      </c>
      <c r="G90" s="85">
        <f>F90/E103</f>
        <v>1.6012795079690906E-2</v>
      </c>
    </row>
    <row r="91" spans="2:7" x14ac:dyDescent="0.15">
      <c r="C91" s="83">
        <f>F91*C74</f>
        <v>11857.330201471688</v>
      </c>
      <c r="D91" s="83">
        <f>F91*D74</f>
        <v>4940.5542506132033</v>
      </c>
      <c r="E91" s="83">
        <f>F91*E74</f>
        <v>2964.3325503679221</v>
      </c>
      <c r="F91" s="78">
        <f>G87*F103</f>
        <v>19762.217002452813</v>
      </c>
      <c r="G91" s="85">
        <f>F91/F103</f>
        <v>1.6012795079690906E-2</v>
      </c>
    </row>
    <row r="92" spans="2:7" x14ac:dyDescent="0.15">
      <c r="F92" s="78"/>
      <c r="G92" s="79"/>
    </row>
    <row r="93" spans="2:7" x14ac:dyDescent="0.15">
      <c r="F93" s="78"/>
      <c r="G93" s="79"/>
    </row>
    <row r="94" spans="2:7" x14ac:dyDescent="0.15">
      <c r="F94" s="78"/>
      <c r="G94" s="79"/>
    </row>
    <row r="95" spans="2:7" x14ac:dyDescent="0.15">
      <c r="F95" s="78"/>
      <c r="G95" s="79"/>
    </row>
    <row r="96" spans="2:7" x14ac:dyDescent="0.15">
      <c r="F96" s="78"/>
      <c r="G96" s="79"/>
    </row>
    <row r="97" spans="1:7" x14ac:dyDescent="0.15">
      <c r="B97" s="80" t="s">
        <v>182</v>
      </c>
      <c r="C97" s="83">
        <f>F97*C74</f>
        <v>119.148</v>
      </c>
      <c r="D97" s="83">
        <f>F97*D74</f>
        <v>49.645000000000003</v>
      </c>
      <c r="E97" s="83">
        <f>F97*E74</f>
        <v>29.786999999999999</v>
      </c>
      <c r="F97" s="88">
        <f>198.58</f>
        <v>198.58</v>
      </c>
      <c r="G97" s="85">
        <f>F97/B103</f>
        <v>1.8415030099412137E-4</v>
      </c>
    </row>
    <row r="98" spans="1:7" x14ac:dyDescent="0.15">
      <c r="C98" s="83">
        <f>F98*C74</f>
        <v>152.30393876610444</v>
      </c>
      <c r="D98" s="83">
        <f>F98*D74</f>
        <v>63.459974485876856</v>
      </c>
      <c r="E98" s="83">
        <f>F98*E74</f>
        <v>38.075984691526109</v>
      </c>
      <c r="F98" s="78">
        <f>G97*C103</f>
        <v>253.83989794350742</v>
      </c>
      <c r="G98" s="85">
        <f>F98/C103</f>
        <v>1.8415030099412137E-4</v>
      </c>
    </row>
    <row r="99" spans="1:7" x14ac:dyDescent="0.15">
      <c r="C99" s="83">
        <f>F99*C74</f>
        <v>117.334298265344</v>
      </c>
      <c r="D99" s="83">
        <f>F99*D74</f>
        <v>48.889290943893336</v>
      </c>
      <c r="E99" s="83">
        <f>F99*E74</f>
        <v>29.333574566336001</v>
      </c>
      <c r="F99" s="78">
        <f>G97*D103</f>
        <v>195.55716377557334</v>
      </c>
      <c r="G99" s="85">
        <f>F99/D103</f>
        <v>1.8415030099412137E-4</v>
      </c>
    </row>
    <row r="100" spans="1:7" x14ac:dyDescent="0.15">
      <c r="C100" s="83">
        <f>F100*C74</f>
        <v>130.95082169139391</v>
      </c>
      <c r="D100" s="83">
        <f>F100*D74</f>
        <v>54.562842371414135</v>
      </c>
      <c r="E100" s="83">
        <f>F100*E74</f>
        <v>32.737705422848478</v>
      </c>
      <c r="F100" s="78">
        <f>G97*E103</f>
        <v>218.25136948565654</v>
      </c>
      <c r="G100" s="85">
        <f>F100/E103</f>
        <v>1.8415030099412137E-4</v>
      </c>
    </row>
    <row r="101" spans="1:7" x14ac:dyDescent="0.15">
      <c r="C101" s="83">
        <f>F101*C74</f>
        <v>136.36163547468851</v>
      </c>
      <c r="D101" s="83">
        <f>F101*D74</f>
        <v>56.817348114453544</v>
      </c>
      <c r="E101" s="83">
        <f>F101*E74</f>
        <v>34.090408868672128</v>
      </c>
      <c r="F101" s="78">
        <f>G97*F103</f>
        <v>227.26939245781418</v>
      </c>
      <c r="G101" s="85">
        <f>F101/F103</f>
        <v>1.8415030099412137E-4</v>
      </c>
    </row>
    <row r="102" spans="1:7" x14ac:dyDescent="0.15">
      <c r="B102" s="84">
        <v>2021</v>
      </c>
      <c r="C102" s="84">
        <v>2022</v>
      </c>
      <c r="D102" s="84">
        <v>2023</v>
      </c>
      <c r="E102" s="84">
        <v>2024</v>
      </c>
      <c r="F102" s="84">
        <v>2025</v>
      </c>
      <c r="G102" s="79"/>
    </row>
    <row r="103" spans="1:7" x14ac:dyDescent="0.15">
      <c r="B103" s="83">
        <f>F75+F81+F87+F97</f>
        <v>1078358.27</v>
      </c>
      <c r="C103" s="83">
        <f>'Tabela 01'!I9</f>
        <v>1378438.6806492961</v>
      </c>
      <c r="D103" s="83">
        <f>'Tabela 01'!J9</f>
        <v>1061943.2209443748</v>
      </c>
      <c r="E103" s="83">
        <f>'Tabela 01'!K9</f>
        <v>1185180.6285813444</v>
      </c>
      <c r="F103" s="83">
        <f>'Tabela 01'!L9</f>
        <v>1234151.6208820604</v>
      </c>
      <c r="G103" s="79">
        <f>G75+G81+G87+G97</f>
        <v>1</v>
      </c>
    </row>
    <row r="104" spans="1:7" x14ac:dyDescent="0.15">
      <c r="B104" s="83">
        <f>1078358.27-B103</f>
        <v>0</v>
      </c>
    </row>
    <row r="106" spans="1:7" x14ac:dyDescent="0.15">
      <c r="B106" s="83"/>
      <c r="C106" s="81">
        <v>0.6</v>
      </c>
      <c r="D106" s="81">
        <v>0.25</v>
      </c>
      <c r="E106" s="81">
        <v>0.15</v>
      </c>
      <c r="F106" s="81">
        <v>1</v>
      </c>
    </row>
    <row r="107" spans="1:7" x14ac:dyDescent="0.15">
      <c r="A107" s="89" t="s">
        <v>4</v>
      </c>
      <c r="B107" s="86" t="s">
        <v>175</v>
      </c>
      <c r="C107" s="78">
        <f>F107*C106</f>
        <v>3361713.8400000003</v>
      </c>
      <c r="D107" s="78">
        <f>F107*D106</f>
        <v>1400714.1</v>
      </c>
      <c r="E107" s="78">
        <f>F107*E106</f>
        <v>840428.46000000008</v>
      </c>
      <c r="F107" s="82">
        <f>5602856.4</f>
        <v>5602856.4000000004</v>
      </c>
      <c r="G107" s="87">
        <f>F107/B131</f>
        <v>0.97886051039032207</v>
      </c>
    </row>
    <row r="108" spans="1:7" x14ac:dyDescent="0.15">
      <c r="C108" s="78">
        <f>F108*C106</f>
        <v>3414839.4238963448</v>
      </c>
      <c r="D108" s="78">
        <f>F108*D106</f>
        <v>1422849.7599568104</v>
      </c>
      <c r="E108" s="78">
        <f>F108*E106</f>
        <v>853709.85597408621</v>
      </c>
      <c r="F108" s="78">
        <f>G107*C131</f>
        <v>5691399.0398272416</v>
      </c>
      <c r="G108" s="79">
        <f>F108/C131</f>
        <v>0.97886051039032196</v>
      </c>
    </row>
    <row r="109" spans="1:7" x14ac:dyDescent="0.15">
      <c r="C109" s="78">
        <f>F109*C106</f>
        <v>2689312.2326867674</v>
      </c>
      <c r="D109" s="78">
        <f>F109*D106</f>
        <v>1120546.7636194865</v>
      </c>
      <c r="E109" s="78">
        <f>F109*E106</f>
        <v>672328.05817169184</v>
      </c>
      <c r="F109" s="78">
        <f>G107*D131</f>
        <v>4482187.0544779459</v>
      </c>
      <c r="G109" s="79">
        <f>F109/D131</f>
        <v>0.97886051039032218</v>
      </c>
    </row>
    <row r="110" spans="1:7" x14ac:dyDescent="0.15">
      <c r="C110" s="78">
        <f>F110*C106</f>
        <v>3067456.9918451239</v>
      </c>
      <c r="D110" s="78">
        <f>F110*D106</f>
        <v>1278107.0799354683</v>
      </c>
      <c r="E110" s="78">
        <f>F110*E106</f>
        <v>766864.24796128098</v>
      </c>
      <c r="F110" s="78">
        <f>G107*E131</f>
        <v>5112428.3197418731</v>
      </c>
      <c r="G110" s="79">
        <f>F110/E131</f>
        <v>0.97886051039032218</v>
      </c>
    </row>
    <row r="111" spans="1:7" x14ac:dyDescent="0.15">
      <c r="C111" s="78">
        <f>F111*C106</f>
        <v>2991390.6693465528</v>
      </c>
      <c r="D111" s="78">
        <f>F111*D106</f>
        <v>1246412.778894397</v>
      </c>
      <c r="E111" s="78">
        <f>F111*E106</f>
        <v>747847.6673366382</v>
      </c>
      <c r="F111" s="78">
        <f>G107*F131</f>
        <v>4985651.1155775879</v>
      </c>
      <c r="G111" s="79">
        <f>F111/F131</f>
        <v>0.97886051039032207</v>
      </c>
    </row>
    <row r="112" spans="1:7" x14ac:dyDescent="0.15">
      <c r="F112" s="78"/>
      <c r="G112" s="79"/>
    </row>
    <row r="113" spans="2:7" x14ac:dyDescent="0.15">
      <c r="B113" s="77" t="s">
        <v>176</v>
      </c>
      <c r="C113" s="83">
        <f>F113*C106</f>
        <v>22986.882000000001</v>
      </c>
      <c r="D113" s="83">
        <f>F113*D106</f>
        <v>9577.8675000000003</v>
      </c>
      <c r="E113" s="83">
        <f>F113*E106</f>
        <v>5746.7205000000004</v>
      </c>
      <c r="F113" s="88">
        <f>38311.47</f>
        <v>38311.47</v>
      </c>
      <c r="G113" s="85">
        <f>F113/B131</f>
        <v>6.6932975612231486E-3</v>
      </c>
    </row>
    <row r="114" spans="2:7" x14ac:dyDescent="0.15">
      <c r="C114" s="83">
        <f>F114*C106</f>
        <v>23350.146568707722</v>
      </c>
      <c r="D114" s="83">
        <f>F114*D106</f>
        <v>9729.2277369615513</v>
      </c>
      <c r="E114" s="83">
        <f>F114*E106</f>
        <v>5837.5366421769304</v>
      </c>
      <c r="F114" s="78">
        <f>G113*C131</f>
        <v>38916.910947846205</v>
      </c>
      <c r="G114" s="79">
        <f>F114/C131</f>
        <v>6.6932975612231486E-3</v>
      </c>
    </row>
    <row r="115" spans="2:7" x14ac:dyDescent="0.15">
      <c r="C115" s="83">
        <f>F115*C106</f>
        <v>18389.10326582921</v>
      </c>
      <c r="D115" s="83">
        <f>F115*D106</f>
        <v>7662.1263607621713</v>
      </c>
      <c r="E115" s="83">
        <f>F115*E106</f>
        <v>4597.2758164573024</v>
      </c>
      <c r="F115" s="78">
        <f>G113*D131</f>
        <v>30648.505443048685</v>
      </c>
      <c r="G115" s="79">
        <f>F115/D131</f>
        <v>6.6932975612231486E-3</v>
      </c>
    </row>
    <row r="116" spans="2:7" x14ac:dyDescent="0.15">
      <c r="C116" s="83">
        <f>F116*C106</f>
        <v>20974.798947080759</v>
      </c>
      <c r="D116" s="83">
        <f>F116*D106</f>
        <v>8739.4995612836501</v>
      </c>
      <c r="E116" s="83">
        <f>F116*E106</f>
        <v>5243.6997367701897</v>
      </c>
      <c r="F116" s="78">
        <f>G113*E131</f>
        <v>34957.9982451346</v>
      </c>
      <c r="G116" s="79">
        <f>F116/E131</f>
        <v>6.6932975612231486E-3</v>
      </c>
    </row>
    <row r="117" spans="2:7" x14ac:dyDescent="0.15">
      <c r="C117" s="83">
        <f>F117*C106</f>
        <v>20454.669137504639</v>
      </c>
      <c r="D117" s="83">
        <f>F117*D106</f>
        <v>8522.7788072936</v>
      </c>
      <c r="E117" s="83">
        <f>F117*E106</f>
        <v>5113.6672843761598</v>
      </c>
      <c r="F117" s="78">
        <f>G113*F131</f>
        <v>34091.1152291744</v>
      </c>
      <c r="G117" s="79">
        <f>F117/F131</f>
        <v>6.6932975612231478E-3</v>
      </c>
    </row>
    <row r="118" spans="2:7" x14ac:dyDescent="0.15">
      <c r="F118" s="78"/>
      <c r="G118" s="79"/>
    </row>
    <row r="119" spans="2:7" x14ac:dyDescent="0.15">
      <c r="B119" s="77" t="s">
        <v>177</v>
      </c>
      <c r="C119" s="83">
        <f>F119*C106</f>
        <v>39621.389999999992</v>
      </c>
      <c r="D119" s="83">
        <f>F119*D106</f>
        <v>16508.912499999999</v>
      </c>
      <c r="E119" s="83">
        <f>F119*E106</f>
        <v>9905.347499999998</v>
      </c>
      <c r="F119" s="88">
        <f>66035.65</f>
        <v>66035.649999999994</v>
      </c>
      <c r="G119" s="85">
        <f>F119/B131</f>
        <v>1.1536917145147011E-2</v>
      </c>
    </row>
    <row r="120" spans="2:7" x14ac:dyDescent="0.15">
      <c r="C120" s="83">
        <f>F120*C106</f>
        <v>40247.531777295</v>
      </c>
      <c r="D120" s="83">
        <f>F120*D106</f>
        <v>16769.804907206249</v>
      </c>
      <c r="E120" s="83">
        <f>F120*E106</f>
        <v>10061.88294432375</v>
      </c>
      <c r="F120" s="78">
        <f>G119*C131</f>
        <v>67079.219628824998</v>
      </c>
      <c r="G120" s="85">
        <f>F120/C131</f>
        <v>1.1536917145147011E-2</v>
      </c>
    </row>
    <row r="121" spans="2:7" x14ac:dyDescent="0.15">
      <c r="C121" s="83">
        <f>F121*C106</f>
        <v>31696.418515816662</v>
      </c>
      <c r="D121" s="83">
        <f>F121*D106</f>
        <v>13206.841048256943</v>
      </c>
      <c r="E121" s="83">
        <f>F121*E106</f>
        <v>7924.1046289541655</v>
      </c>
      <c r="F121" s="78">
        <f>G119*D131</f>
        <v>52827.364193027774</v>
      </c>
      <c r="G121" s="85">
        <f>F121/D131</f>
        <v>1.1536917145147011E-2</v>
      </c>
    </row>
    <row r="122" spans="2:7" x14ac:dyDescent="0.15">
      <c r="C122" s="83">
        <f>F122*C106</f>
        <v>36153.258595657993</v>
      </c>
      <c r="D122" s="83">
        <f>F122*D106</f>
        <v>15063.857748190831</v>
      </c>
      <c r="E122" s="83">
        <f>F122*E106</f>
        <v>9038.3146489144983</v>
      </c>
      <c r="F122" s="78">
        <f>G119*E131</f>
        <v>60255.430992763322</v>
      </c>
      <c r="G122" s="85">
        <f>F122/E131</f>
        <v>1.1536917145147011E-2</v>
      </c>
    </row>
    <row r="123" spans="2:7" x14ac:dyDescent="0.15">
      <c r="C123" s="83">
        <f>F123*C106</f>
        <v>35256.735698997145</v>
      </c>
      <c r="D123" s="83">
        <f>F123*D106</f>
        <v>14690.306541248812</v>
      </c>
      <c r="E123" s="83">
        <f>F123*E106</f>
        <v>8814.1839247492862</v>
      </c>
      <c r="F123" s="78">
        <f>G119*F131</f>
        <v>58761.226164995249</v>
      </c>
      <c r="G123" s="85">
        <f>F123/F131</f>
        <v>1.1536917145147011E-2</v>
      </c>
    </row>
    <row r="124" spans="2:7" x14ac:dyDescent="0.15">
      <c r="F124" s="78"/>
      <c r="G124" s="79"/>
    </row>
    <row r="125" spans="2:7" x14ac:dyDescent="0.15">
      <c r="B125" s="77" t="s">
        <v>178</v>
      </c>
      <c r="C125" s="83">
        <f>F125*C106</f>
        <v>9991.3619999999992</v>
      </c>
      <c r="D125" s="83">
        <f>F125*D106</f>
        <v>4163.0675000000001</v>
      </c>
      <c r="E125" s="83">
        <f>F125*E106</f>
        <v>2497.8404999999998</v>
      </c>
      <c r="F125" s="88">
        <f>16652.27</f>
        <v>16652.27</v>
      </c>
      <c r="G125" s="85">
        <f>F125/B131</f>
        <v>2.909274903307793E-3</v>
      </c>
    </row>
    <row r="126" spans="2:7" x14ac:dyDescent="0.15">
      <c r="C126" s="83">
        <f>F126*C106</f>
        <v>10149.256742215701</v>
      </c>
      <c r="D126" s="83">
        <f>F126*D106</f>
        <v>4228.8569759232087</v>
      </c>
      <c r="E126" s="83">
        <f>F126*E106</f>
        <v>2537.3141855539252</v>
      </c>
      <c r="F126" s="78">
        <f>G125*C131</f>
        <v>16915.427903692835</v>
      </c>
      <c r="G126" s="85">
        <f>F126/C131</f>
        <v>2.9092749033077926E-3</v>
      </c>
    </row>
    <row r="127" spans="2:7" x14ac:dyDescent="0.15">
      <c r="C127" s="83">
        <f>F127*C106</f>
        <v>7992.914723461925</v>
      </c>
      <c r="D127" s="83">
        <f>F127*D106</f>
        <v>3330.3811347758024</v>
      </c>
      <c r="E127" s="83">
        <f>F127*E106</f>
        <v>1998.2286808654812</v>
      </c>
      <c r="F127" s="78">
        <f>G125*D131</f>
        <v>13321.524539103209</v>
      </c>
      <c r="G127" s="85">
        <f>F127/D131</f>
        <v>2.909274903307793E-3</v>
      </c>
    </row>
    <row r="128" spans="2:7" x14ac:dyDescent="0.15">
      <c r="C128" s="83">
        <f>F128*C106</f>
        <v>9116.8001452960307</v>
      </c>
      <c r="D128" s="83">
        <f>F128*D106</f>
        <v>3798.6667272066798</v>
      </c>
      <c r="E128" s="83">
        <f>F128*E106</f>
        <v>2279.2000363240077</v>
      </c>
      <c r="F128" s="78">
        <f>G125*E131</f>
        <v>15194.666908826719</v>
      </c>
      <c r="G128" s="85">
        <f>F128/E131</f>
        <v>2.909274903307793E-3</v>
      </c>
    </row>
    <row r="129" spans="1:8" x14ac:dyDescent="0.15">
      <c r="C129" s="83">
        <f>F129*C106</f>
        <v>8890.7231499703466</v>
      </c>
      <c r="D129" s="83">
        <f>F129*D106</f>
        <v>3704.4679791543113</v>
      </c>
      <c r="E129" s="83">
        <f>F129*E106</f>
        <v>2222.6807874925867</v>
      </c>
      <c r="F129" s="78">
        <f>G125*F131</f>
        <v>14817.871916617245</v>
      </c>
      <c r="G129" s="85">
        <f>F129/F131</f>
        <v>2.909274903307793E-3</v>
      </c>
    </row>
    <row r="130" spans="1:8" x14ac:dyDescent="0.15">
      <c r="B130" s="84">
        <v>2021</v>
      </c>
      <c r="C130" s="84">
        <v>2022</v>
      </c>
      <c r="D130" s="84">
        <v>2023</v>
      </c>
      <c r="E130" s="84">
        <v>2024</v>
      </c>
      <c r="F130" s="84">
        <v>2025</v>
      </c>
      <c r="G130" s="79"/>
    </row>
    <row r="131" spans="1:8" x14ac:dyDescent="0.15">
      <c r="B131" s="83">
        <f>F107+F113+F119+F125</f>
        <v>5723855.79</v>
      </c>
      <c r="C131" s="83">
        <f>'Tabela 01'!I10</f>
        <v>5814310.5983076058</v>
      </c>
      <c r="D131" s="83">
        <f>'Tabela 01'!J10</f>
        <v>4578984.4486531252</v>
      </c>
      <c r="E131" s="83">
        <f>'Tabela 01'!K10</f>
        <v>5222836.4158885973</v>
      </c>
      <c r="F131" s="83">
        <f>'Tabela 01'!L10</f>
        <v>5093321.3288883744</v>
      </c>
      <c r="G131" s="79">
        <f>G107+G113+G119+G125</f>
        <v>1</v>
      </c>
    </row>
    <row r="132" spans="1:8" x14ac:dyDescent="0.15">
      <c r="B132" s="83">
        <f>5723855.79-B131</f>
        <v>0</v>
      </c>
    </row>
    <row r="133" spans="1:8" x14ac:dyDescent="0.15">
      <c r="C133" s="81">
        <v>0.6</v>
      </c>
      <c r="D133" s="81">
        <v>0.05</v>
      </c>
      <c r="E133" s="81">
        <v>0.15</v>
      </c>
      <c r="F133" s="81">
        <v>0.2</v>
      </c>
      <c r="G133" s="81">
        <v>1</v>
      </c>
      <c r="H133" s="81">
        <v>0.25</v>
      </c>
    </row>
    <row r="134" spans="1:8" x14ac:dyDescent="0.15">
      <c r="A134" s="34" t="s">
        <v>5</v>
      </c>
      <c r="B134" s="34" t="s">
        <v>183</v>
      </c>
      <c r="C134" s="83">
        <f>H134*C133</f>
        <v>14138907.119999999</v>
      </c>
      <c r="D134" s="83">
        <f>D133*H134</f>
        <v>1178242.26</v>
      </c>
      <c r="E134" s="83">
        <f>E133*H134</f>
        <v>3534726.78</v>
      </c>
      <c r="F134" s="83">
        <f>F133*H134</f>
        <v>4712969.04</v>
      </c>
      <c r="G134" s="83">
        <f>SUM(C134:F134)-H134</f>
        <v>0</v>
      </c>
      <c r="H134" s="78">
        <f>23564845.2</f>
        <v>23564845.199999999</v>
      </c>
    </row>
    <row r="135" spans="1:8" x14ac:dyDescent="0.15">
      <c r="A135" s="34" t="s">
        <v>49</v>
      </c>
      <c r="B135" s="34" t="s">
        <v>184</v>
      </c>
      <c r="C135" s="83">
        <f>H135*C133</f>
        <v>769726.80599999998</v>
      </c>
      <c r="D135" s="83">
        <f>H133*H135</f>
        <v>320719.5025</v>
      </c>
      <c r="E135" s="83">
        <f>E133*H135</f>
        <v>192431.7015</v>
      </c>
      <c r="F135" s="83"/>
      <c r="G135" s="83">
        <f>SUM(C135:F135)-H135</f>
        <v>0</v>
      </c>
      <c r="H135" s="78">
        <f>1282878.01</f>
        <v>1282878.01</v>
      </c>
    </row>
    <row r="136" spans="1:8" x14ac:dyDescent="0.15">
      <c r="A136" s="34" t="s">
        <v>49</v>
      </c>
      <c r="B136" s="34" t="s">
        <v>185</v>
      </c>
      <c r="C136" s="83">
        <f>H136*C133</f>
        <v>608461.42200000002</v>
      </c>
      <c r="D136" s="83">
        <f>H133*H136</f>
        <v>253525.5925</v>
      </c>
      <c r="E136" s="83">
        <f>E133*H136</f>
        <v>152115.35550000001</v>
      </c>
      <c r="F136" s="83"/>
      <c r="G136" s="83">
        <f t="shared" ref="G136:G137" si="0">SUM(C136:F136)-H136</f>
        <v>0</v>
      </c>
      <c r="H136" s="78">
        <f>1014102.37</f>
        <v>1014102.37</v>
      </c>
    </row>
    <row r="137" spans="1:8" x14ac:dyDescent="0.15">
      <c r="A137" s="34" t="s">
        <v>7</v>
      </c>
      <c r="B137" s="34" t="s">
        <v>83</v>
      </c>
      <c r="C137" s="83">
        <f>H137*C133</f>
        <v>552240</v>
      </c>
      <c r="D137" s="83">
        <f>D133*H137</f>
        <v>46020</v>
      </c>
      <c r="E137" s="83">
        <f>E133*H137</f>
        <v>138060</v>
      </c>
      <c r="F137" s="83">
        <f>F133*H137</f>
        <v>184080</v>
      </c>
      <c r="G137" s="83">
        <f t="shared" si="0"/>
        <v>0</v>
      </c>
      <c r="H137" s="78">
        <f>920400</f>
        <v>920400</v>
      </c>
    </row>
    <row r="138" spans="1:8" x14ac:dyDescent="0.15">
      <c r="H138" s="78"/>
    </row>
    <row r="139" spans="1:8" x14ac:dyDescent="0.15">
      <c r="C139" s="81">
        <v>0.6</v>
      </c>
      <c r="D139" s="81">
        <v>0.05</v>
      </c>
      <c r="E139" s="81">
        <v>0.15</v>
      </c>
      <c r="F139" s="81">
        <v>0.2</v>
      </c>
      <c r="G139" s="81">
        <v>1</v>
      </c>
      <c r="H139" s="81">
        <v>0.25</v>
      </c>
    </row>
    <row r="140" spans="1:8" x14ac:dyDescent="0.15">
      <c r="A140" s="34" t="s">
        <v>5</v>
      </c>
      <c r="B140" s="34" t="s">
        <v>183</v>
      </c>
      <c r="C140" s="83">
        <f>H140*C139</f>
        <v>16977313.00499294</v>
      </c>
      <c r="D140" s="83">
        <f>D139*H140</f>
        <v>1414776.0837494116</v>
      </c>
      <c r="E140" s="83">
        <f>E139*H140</f>
        <v>4244328.2512482349</v>
      </c>
      <c r="F140" s="83">
        <f>F139*H140</f>
        <v>5659104.3349976465</v>
      </c>
      <c r="G140" s="83">
        <f>SUM(C140:F140)-H140</f>
        <v>0</v>
      </c>
      <c r="H140" s="83">
        <f>'Tabela 01'!I32</f>
        <v>28295521.674988233</v>
      </c>
    </row>
    <row r="141" spans="1:8" x14ac:dyDescent="0.15">
      <c r="A141" s="34" t="s">
        <v>49</v>
      </c>
      <c r="B141" s="34" t="s">
        <v>184</v>
      </c>
      <c r="C141" s="83">
        <f>H141*C139</f>
        <v>760968.85283779365</v>
      </c>
      <c r="D141" s="83">
        <f>H139*H141</f>
        <v>317070.3553490807</v>
      </c>
      <c r="E141" s="83">
        <f>E139*H141</f>
        <v>190242.21320944841</v>
      </c>
      <c r="F141" s="83"/>
      <c r="G141" s="83">
        <f>SUM(C141:F141)-H141</f>
        <v>0</v>
      </c>
      <c r="H141" s="83">
        <f>'Tabela 01'!I33</f>
        <v>1268281.4213963228</v>
      </c>
    </row>
    <row r="142" spans="1:8" x14ac:dyDescent="0.15">
      <c r="A142" s="34" t="s">
        <v>49</v>
      </c>
      <c r="B142" s="34" t="s">
        <v>185</v>
      </c>
      <c r="C142" s="83">
        <f>H142*C139</f>
        <v>743921.55244527687</v>
      </c>
      <c r="D142" s="83">
        <f>H139*H142</f>
        <v>309967.31351886538</v>
      </c>
      <c r="E142" s="83">
        <f>E139*H142</f>
        <v>185980.38811131922</v>
      </c>
      <c r="F142" s="83"/>
      <c r="G142" s="83">
        <f t="shared" ref="G142" si="1">SUM(C142:F142)-H142</f>
        <v>0</v>
      </c>
      <c r="H142" s="83">
        <f>'Tabela 01'!I34</f>
        <v>1239869.2540754615</v>
      </c>
    </row>
    <row r="143" spans="1:8" x14ac:dyDescent="0.15">
      <c r="A143" s="34" t="s">
        <v>7</v>
      </c>
      <c r="B143" s="34" t="s">
        <v>83</v>
      </c>
      <c r="C143" s="83">
        <f>H143*C139</f>
        <v>713819.56159852806</v>
      </c>
      <c r="D143" s="83">
        <f>D139*H143</f>
        <v>59484.96346654401</v>
      </c>
      <c r="E143" s="83">
        <f>E139*H143</f>
        <v>178454.89039963202</v>
      </c>
      <c r="F143" s="83">
        <f>F139*H143</f>
        <v>237939.85386617604</v>
      </c>
      <c r="G143" s="83">
        <f>SUM(C143:F143)-H143</f>
        <v>0</v>
      </c>
      <c r="H143" s="83">
        <f>'Tabela 01'!I35</f>
        <v>1189699.2693308801</v>
      </c>
    </row>
    <row r="144" spans="1:8" x14ac:dyDescent="0.15">
      <c r="A144" s="83"/>
      <c r="B144" s="83"/>
      <c r="C144" s="83"/>
      <c r="D144" s="83"/>
      <c r="E144" s="83"/>
      <c r="F144" s="83"/>
      <c r="H144" s="83"/>
    </row>
    <row r="145" spans="1:8" x14ac:dyDescent="0.15">
      <c r="C145" s="81">
        <v>0.6</v>
      </c>
      <c r="D145" s="81">
        <v>0.05</v>
      </c>
      <c r="E145" s="81">
        <v>0.15</v>
      </c>
      <c r="F145" s="81">
        <v>0.2</v>
      </c>
      <c r="G145" s="81">
        <v>1</v>
      </c>
      <c r="H145" s="81">
        <v>0.25</v>
      </c>
    </row>
    <row r="146" spans="1:8" x14ac:dyDescent="0.15">
      <c r="A146" s="34" t="s">
        <v>5</v>
      </c>
      <c r="B146" s="34" t="s">
        <v>183</v>
      </c>
      <c r="C146" s="83">
        <f>H146*C145</f>
        <v>18139122.125937749</v>
      </c>
      <c r="D146" s="83">
        <f>D145*H146</f>
        <v>1511593.5104948126</v>
      </c>
      <c r="E146" s="83">
        <f>E145*H146</f>
        <v>4534780.5314844372</v>
      </c>
      <c r="F146" s="83">
        <f>F145*H146</f>
        <v>6046374.0419792505</v>
      </c>
      <c r="G146" s="83">
        <f>SUM(C146:F146)-H146</f>
        <v>0</v>
      </c>
      <c r="H146" s="83">
        <f>'Tabela 01'!J32</f>
        <v>30231870.209896252</v>
      </c>
    </row>
    <row r="147" spans="1:8" x14ac:dyDescent="0.15">
      <c r="A147" s="34" t="s">
        <v>49</v>
      </c>
      <c r="B147" s="34" t="s">
        <v>184</v>
      </c>
      <c r="C147" s="83">
        <f>H147*C145</f>
        <v>580460.27460837492</v>
      </c>
      <c r="D147" s="83">
        <f>H145*H147</f>
        <v>241858.44775348954</v>
      </c>
      <c r="E147" s="83">
        <f>E145*H147</f>
        <v>145115.06865209373</v>
      </c>
      <c r="F147" s="83"/>
      <c r="G147" s="83">
        <f>SUM(C147:F147)-H147</f>
        <v>0</v>
      </c>
      <c r="H147" s="83">
        <f>'Tabela 01'!J33</f>
        <v>967433.79101395817</v>
      </c>
    </row>
    <row r="148" spans="1:8" x14ac:dyDescent="0.15">
      <c r="A148" s="34" t="s">
        <v>49</v>
      </c>
      <c r="B148" s="34" t="s">
        <v>185</v>
      </c>
      <c r="C148" s="83">
        <f>H148*C145</f>
        <v>568953.48620774993</v>
      </c>
      <c r="D148" s="83">
        <f>H145*H148</f>
        <v>237063.95258656249</v>
      </c>
      <c r="E148" s="83">
        <f>E145*H148</f>
        <v>142238.37155193748</v>
      </c>
      <c r="F148" s="83"/>
      <c r="G148" s="83">
        <f t="shared" ref="G148" si="2">SUM(C148:F148)-H148</f>
        <v>0</v>
      </c>
      <c r="H148" s="83">
        <f>'Tabela 01'!J34</f>
        <v>948255.81034624996</v>
      </c>
    </row>
    <row r="149" spans="1:8" x14ac:dyDescent="0.15">
      <c r="A149" s="34" t="s">
        <v>7</v>
      </c>
      <c r="B149" s="34" t="s">
        <v>83</v>
      </c>
      <c r="C149" s="83">
        <f>H149*C145</f>
        <v>562685.64100962493</v>
      </c>
      <c r="D149" s="83">
        <f>D145*H149</f>
        <v>46890.470084135421</v>
      </c>
      <c r="E149" s="83">
        <f>E145*H149</f>
        <v>140671.41025240623</v>
      </c>
      <c r="F149" s="83">
        <f>F145*H149</f>
        <v>187561.88033654168</v>
      </c>
      <c r="G149" s="83">
        <f>SUM(C149:F149)-H149</f>
        <v>0</v>
      </c>
      <c r="H149" s="83">
        <f>'Tabela 01'!J35</f>
        <v>937809.4016827083</v>
      </c>
    </row>
    <row r="150" spans="1:8" x14ac:dyDescent="0.15">
      <c r="H150" s="83"/>
    </row>
    <row r="151" spans="1:8" x14ac:dyDescent="0.15">
      <c r="C151" s="81">
        <v>0.6</v>
      </c>
      <c r="D151" s="81">
        <v>0.05</v>
      </c>
      <c r="E151" s="81">
        <v>0.15</v>
      </c>
      <c r="F151" s="81">
        <v>0.2</v>
      </c>
      <c r="G151" s="81">
        <v>1</v>
      </c>
      <c r="H151" s="81">
        <v>0.25</v>
      </c>
    </row>
    <row r="152" spans="1:8" x14ac:dyDescent="0.15">
      <c r="A152" s="34" t="s">
        <v>5</v>
      </c>
      <c r="B152" s="34" t="s">
        <v>183</v>
      </c>
      <c r="C152" s="83">
        <f>H152*C151</f>
        <v>19943876.377569072</v>
      </c>
      <c r="D152" s="83">
        <f>D151*H152</f>
        <v>1661989.6981307562</v>
      </c>
      <c r="E152" s="83">
        <f>E151*H152</f>
        <v>4985969.094392268</v>
      </c>
      <c r="F152" s="83">
        <f>F151*H152</f>
        <v>6647958.7925230246</v>
      </c>
      <c r="G152" s="83">
        <f>SUM(C152:F152)-H152</f>
        <v>0</v>
      </c>
      <c r="H152" s="83">
        <f>'Tabela 01'!K32</f>
        <v>33239793.962615121</v>
      </c>
    </row>
    <row r="153" spans="1:8" x14ac:dyDescent="0.15">
      <c r="A153" s="34" t="s">
        <v>49</v>
      </c>
      <c r="B153" s="34" t="s">
        <v>184</v>
      </c>
      <c r="C153" s="83">
        <f>H153*C151</f>
        <v>663064.7849155491</v>
      </c>
      <c r="D153" s="83">
        <f>H151*H153</f>
        <v>276276.99371481215</v>
      </c>
      <c r="E153" s="83">
        <f>E151*H153</f>
        <v>165766.19622888727</v>
      </c>
      <c r="F153" s="83"/>
      <c r="G153" s="83">
        <f>SUM(C153:F153)-H153</f>
        <v>0</v>
      </c>
      <c r="H153" s="83">
        <f>'Tabela 01'!K33</f>
        <v>1105107.9748592486</v>
      </c>
    </row>
    <row r="154" spans="1:8" x14ac:dyDescent="0.15">
      <c r="A154" s="34" t="s">
        <v>49</v>
      </c>
      <c r="B154" s="34" t="s">
        <v>185</v>
      </c>
      <c r="C154" s="83">
        <f>H154*C151</f>
        <v>650069.00431012234</v>
      </c>
      <c r="D154" s="83">
        <f>H151*H154</f>
        <v>270862.08512921765</v>
      </c>
      <c r="E154" s="83">
        <f>E151*H154</f>
        <v>162517.25107753059</v>
      </c>
      <c r="F154" s="83"/>
      <c r="G154" s="83">
        <f t="shared" ref="G154" si="3">SUM(C154:F154)-H154</f>
        <v>0</v>
      </c>
      <c r="H154" s="83">
        <f>'Tabela 01'!K34</f>
        <v>1083448.3405168706</v>
      </c>
    </row>
    <row r="155" spans="1:8" x14ac:dyDescent="0.15">
      <c r="A155" s="34" t="s">
        <v>7</v>
      </c>
      <c r="B155" s="34" t="s">
        <v>83</v>
      </c>
      <c r="C155" s="83">
        <f>H155*C151</f>
        <v>647648.17484424741</v>
      </c>
      <c r="D155" s="83">
        <f>D151*H155</f>
        <v>53970.681237020624</v>
      </c>
      <c r="E155" s="83">
        <f>E151*H155</f>
        <v>161912.04371106185</v>
      </c>
      <c r="F155" s="83">
        <f>F151*H155</f>
        <v>215882.7249480825</v>
      </c>
      <c r="G155" s="83">
        <f>SUM(C155:F155)-H155</f>
        <v>0</v>
      </c>
      <c r="H155" s="83">
        <f>'Tabela 01'!K35</f>
        <v>1079413.6247404125</v>
      </c>
    </row>
    <row r="156" spans="1:8" x14ac:dyDescent="0.15">
      <c r="H156" s="83"/>
    </row>
    <row r="157" spans="1:8" x14ac:dyDescent="0.15">
      <c r="C157" s="81">
        <v>0.6</v>
      </c>
      <c r="D157" s="81">
        <v>0.05</v>
      </c>
      <c r="E157" s="81">
        <v>0.15</v>
      </c>
      <c r="F157" s="81">
        <v>0.2</v>
      </c>
      <c r="G157" s="81">
        <v>1</v>
      </c>
      <c r="H157" s="81">
        <v>0.25</v>
      </c>
    </row>
    <row r="158" spans="1:8" x14ac:dyDescent="0.15">
      <c r="A158" s="34" t="s">
        <v>5</v>
      </c>
      <c r="B158" s="34" t="s">
        <v>183</v>
      </c>
      <c r="C158" s="83">
        <f>H158*C157</f>
        <v>22019149.516651601</v>
      </c>
      <c r="D158" s="83">
        <f>D157*H158</f>
        <v>1834929.1263876334</v>
      </c>
      <c r="E158" s="83">
        <f>E157*H158</f>
        <v>5504787.3791629001</v>
      </c>
      <c r="F158" s="83">
        <f>F157*H158</f>
        <v>7339716.5055505335</v>
      </c>
      <c r="G158" s="83">
        <f>SUM(C158:F158)-H158</f>
        <v>0</v>
      </c>
      <c r="H158" s="83">
        <f>'Tabela 01'!L32</f>
        <v>36698582.527752668</v>
      </c>
    </row>
    <row r="159" spans="1:8" x14ac:dyDescent="0.15">
      <c r="A159" s="34" t="s">
        <v>49</v>
      </c>
      <c r="B159" s="34" t="s">
        <v>184</v>
      </c>
      <c r="C159" s="83">
        <f>H159*C157</f>
        <v>674146.88757686829</v>
      </c>
      <c r="D159" s="83">
        <f>H157*H159</f>
        <v>280894.53649036179</v>
      </c>
      <c r="E159" s="83">
        <f>E157*H159</f>
        <v>168536.72189421707</v>
      </c>
      <c r="F159" s="83"/>
      <c r="G159" s="83">
        <f>SUM(C159:F159)-H159</f>
        <v>0</v>
      </c>
      <c r="H159" s="83">
        <f>'Tabela 01'!L33</f>
        <v>1123578.1459614472</v>
      </c>
    </row>
    <row r="160" spans="1:8" x14ac:dyDescent="0.15">
      <c r="A160" s="34" t="s">
        <v>49</v>
      </c>
      <c r="B160" s="34" t="s">
        <v>185</v>
      </c>
      <c r="C160" s="83">
        <f>H160*C157</f>
        <v>664394.10464861628</v>
      </c>
      <c r="D160" s="83">
        <f>H157*H160</f>
        <v>276830.87693692348</v>
      </c>
      <c r="E160" s="83">
        <f>E157*H160</f>
        <v>166098.52616215407</v>
      </c>
      <c r="F160" s="83"/>
      <c r="G160" s="83">
        <f t="shared" ref="G160" si="4">SUM(C160:F160)-H160</f>
        <v>0</v>
      </c>
      <c r="H160" s="83">
        <f>'Tabela 01'!L34</f>
        <v>1107323.5077476939</v>
      </c>
    </row>
    <row r="161" spans="1:8" x14ac:dyDescent="0.15">
      <c r="A161" s="34" t="s">
        <v>7</v>
      </c>
      <c r="B161" s="34" t="s">
        <v>83</v>
      </c>
      <c r="C161" s="83">
        <f>H161*C157</f>
        <v>668853.65003238164</v>
      </c>
      <c r="D161" s="83">
        <f>D157*H161</f>
        <v>55737.804169365139</v>
      </c>
      <c r="E161" s="83">
        <f>E157*H161</f>
        <v>167213.41250809541</v>
      </c>
      <c r="F161" s="83">
        <f>F157*H161</f>
        <v>222951.21667746056</v>
      </c>
      <c r="G161" s="83">
        <f>SUM(C161:F161)-H161</f>
        <v>0</v>
      </c>
      <c r="H161" s="83">
        <f>'Tabela 01'!L35</f>
        <v>1114756.0833873027</v>
      </c>
    </row>
    <row r="162" spans="1:8" x14ac:dyDescent="0.15">
      <c r="H162" s="83"/>
    </row>
    <row r="165" spans="1:8" x14ac:dyDescent="0.15">
      <c r="C165" s="81">
        <v>0.6</v>
      </c>
      <c r="D165" s="81">
        <v>0.05</v>
      </c>
      <c r="E165" s="81">
        <v>0.15</v>
      </c>
      <c r="F165" s="81">
        <v>0.2</v>
      </c>
      <c r="G165" s="81">
        <v>1</v>
      </c>
    </row>
    <row r="166" spans="1:8" x14ac:dyDescent="0.15">
      <c r="A166" s="34" t="s">
        <v>9</v>
      </c>
      <c r="B166" s="34" t="s">
        <v>85</v>
      </c>
      <c r="C166" s="83">
        <f>H166*C165</f>
        <v>22948077.815738663</v>
      </c>
      <c r="D166" s="83">
        <f>D165*H166</f>
        <v>1912339.8179782219</v>
      </c>
      <c r="E166" s="83">
        <f>E165*H166</f>
        <v>5737019.4539346658</v>
      </c>
      <c r="F166" s="83">
        <f>F165*H166</f>
        <v>7649359.2719128877</v>
      </c>
      <c r="H166" s="83">
        <f>'Tabela 01'!I114</f>
        <v>38246796.359564438</v>
      </c>
    </row>
    <row r="167" spans="1:8" x14ac:dyDescent="0.15">
      <c r="A167" s="34" t="s">
        <v>10</v>
      </c>
      <c r="B167" s="34" t="s">
        <v>86</v>
      </c>
      <c r="C167" s="83">
        <f>H167*C165</f>
        <v>2341706.3170035924</v>
      </c>
      <c r="D167" s="83">
        <f>D165*H167</f>
        <v>195142.19308363271</v>
      </c>
      <c r="E167" s="83">
        <f>E165*H167</f>
        <v>585426.5792508981</v>
      </c>
      <c r="F167" s="83">
        <f>F165*H167</f>
        <v>780568.77233453083</v>
      </c>
      <c r="H167" s="83">
        <f>'Tabela 01'!I115</f>
        <v>3902843.8616726538</v>
      </c>
    </row>
    <row r="168" spans="1:8" x14ac:dyDescent="0.15">
      <c r="A168" s="34" t="s">
        <v>11</v>
      </c>
      <c r="B168" s="34" t="s">
        <v>87</v>
      </c>
      <c r="C168" s="83">
        <f>H168*C165</f>
        <v>336709.459461144</v>
      </c>
      <c r="D168" s="83">
        <f>D165*H168</f>
        <v>28059.121621762002</v>
      </c>
      <c r="E168" s="83">
        <f>E165*H168</f>
        <v>84177.364865285999</v>
      </c>
      <c r="F168" s="83">
        <f>F165*H168</f>
        <v>112236.48648704801</v>
      </c>
      <c r="H168" s="83">
        <f>'Tabela 01'!I116</f>
        <v>561182.43243524001</v>
      </c>
    </row>
    <row r="169" spans="1:8" x14ac:dyDescent="0.15">
      <c r="C169" s="81">
        <v>0.6</v>
      </c>
      <c r="D169" s="81">
        <v>0.05</v>
      </c>
      <c r="E169" s="81">
        <v>0.15</v>
      </c>
      <c r="F169" s="81">
        <v>0.2</v>
      </c>
      <c r="G169" s="81">
        <v>1</v>
      </c>
    </row>
    <row r="170" spans="1:8" x14ac:dyDescent="0.15">
      <c r="A170" s="34" t="s">
        <v>9</v>
      </c>
      <c r="B170" s="34" t="s">
        <v>85</v>
      </c>
      <c r="C170" s="83">
        <f>H170*C169</f>
        <v>24578476.376800496</v>
      </c>
      <c r="D170" s="83">
        <f>D169*H170</f>
        <v>2048206.3647333749</v>
      </c>
      <c r="E170" s="83">
        <f>E169*H170</f>
        <v>6144619.094200124</v>
      </c>
      <c r="F170" s="83">
        <f>F169*H170</f>
        <v>8192825.4589334996</v>
      </c>
      <c r="H170" s="83">
        <f>'Tabela 01'!J114</f>
        <v>40964127.294667497</v>
      </c>
    </row>
    <row r="171" spans="1:8" x14ac:dyDescent="0.15">
      <c r="A171" s="34" t="s">
        <v>10</v>
      </c>
      <c r="B171" s="34" t="s">
        <v>86</v>
      </c>
      <c r="C171" s="83">
        <f>H171*C169</f>
        <v>2507238.4538407498</v>
      </c>
      <c r="D171" s="83">
        <f>D169*H171</f>
        <v>208936.53782006251</v>
      </c>
      <c r="E171" s="83">
        <f>E169*H171</f>
        <v>626809.61346018745</v>
      </c>
      <c r="F171" s="83">
        <f>F169*H171</f>
        <v>835746.15128025005</v>
      </c>
      <c r="H171" s="83">
        <f>'Tabela 01'!J115</f>
        <v>4178730.7564012501</v>
      </c>
    </row>
    <row r="172" spans="1:8" x14ac:dyDescent="0.15">
      <c r="A172" s="34" t="s">
        <v>11</v>
      </c>
      <c r="B172" s="34" t="s">
        <v>87</v>
      </c>
      <c r="C172" s="83">
        <f>H172*C169</f>
        <v>351921.38797724992</v>
      </c>
      <c r="D172" s="83">
        <f>D169*H172</f>
        <v>29326.782331437498</v>
      </c>
      <c r="E172" s="83">
        <f>E169*H172</f>
        <v>87980.34699431248</v>
      </c>
      <c r="F172" s="83">
        <f>F169*H172</f>
        <v>117307.12932574999</v>
      </c>
      <c r="H172" s="83">
        <f>'Tabela 01'!J116</f>
        <v>586535.64662874991</v>
      </c>
    </row>
    <row r="173" spans="1:8" x14ac:dyDescent="0.15">
      <c r="C173" s="81">
        <v>0.6</v>
      </c>
      <c r="D173" s="81">
        <v>0.05</v>
      </c>
      <c r="E173" s="81">
        <v>0.15</v>
      </c>
      <c r="F173" s="81">
        <v>0.2</v>
      </c>
      <c r="G173" s="81">
        <v>1</v>
      </c>
    </row>
    <row r="174" spans="1:8" x14ac:dyDescent="0.15">
      <c r="A174" s="34" t="s">
        <v>9</v>
      </c>
      <c r="B174" s="34" t="s">
        <v>85</v>
      </c>
      <c r="C174" s="83">
        <f>H174*C173</f>
        <v>27152100.087676927</v>
      </c>
      <c r="D174" s="83">
        <f>D173*H174</f>
        <v>2262675.0073064109</v>
      </c>
      <c r="E174" s="83">
        <f>E173*H174</f>
        <v>6788025.0219192319</v>
      </c>
      <c r="F174" s="83">
        <f>F173*H174</f>
        <v>9050700.0292256437</v>
      </c>
      <c r="H174" s="83">
        <f>'Tabela 01'!K114</f>
        <v>45253500.146128215</v>
      </c>
    </row>
    <row r="175" spans="1:8" x14ac:dyDescent="0.15">
      <c r="A175" s="34" t="s">
        <v>10</v>
      </c>
      <c r="B175" s="34" t="s">
        <v>86</v>
      </c>
      <c r="C175" s="83">
        <f>H175*C173</f>
        <v>2740477.909876538</v>
      </c>
      <c r="D175" s="83">
        <f>D173*H175</f>
        <v>228373.15915637818</v>
      </c>
      <c r="E175" s="83">
        <f>E173*H175</f>
        <v>685119.47746913449</v>
      </c>
      <c r="F175" s="83">
        <f>F173*H175</f>
        <v>913492.63662551274</v>
      </c>
      <c r="H175" s="83">
        <f>'Tabela 01'!K115</f>
        <v>4567463.1831275634</v>
      </c>
    </row>
    <row r="176" spans="1:8" x14ac:dyDescent="0.15">
      <c r="A176" s="34" t="s">
        <v>11</v>
      </c>
      <c r="B176" s="34" t="s">
        <v>87</v>
      </c>
      <c r="C176" s="83">
        <f>H176*C173</f>
        <v>389988.13559919898</v>
      </c>
      <c r="D176" s="83">
        <f>D173*H176</f>
        <v>32499.011299933249</v>
      </c>
      <c r="E176" s="83">
        <f>E173*H176</f>
        <v>97497.033899799746</v>
      </c>
      <c r="F176" s="83">
        <f>F173*H176</f>
        <v>129996.04519973299</v>
      </c>
      <c r="H176" s="83">
        <f>'Tabela 01'!K116</f>
        <v>649980.22599866497</v>
      </c>
    </row>
    <row r="177" spans="1:8" x14ac:dyDescent="0.15">
      <c r="C177" s="81">
        <v>0.6</v>
      </c>
      <c r="D177" s="81">
        <v>0.05</v>
      </c>
      <c r="E177" s="81">
        <v>0.15</v>
      </c>
      <c r="F177" s="81">
        <v>0.2</v>
      </c>
      <c r="G177" s="81">
        <v>1</v>
      </c>
    </row>
    <row r="178" spans="1:8" x14ac:dyDescent="0.15">
      <c r="A178" s="34" t="s">
        <v>9</v>
      </c>
      <c r="B178" s="34" t="s">
        <v>85</v>
      </c>
      <c r="C178" s="83">
        <f>H178*C177</f>
        <v>29919299.225172956</v>
      </c>
      <c r="D178" s="83">
        <f>D177*H178</f>
        <v>2493274.9354310795</v>
      </c>
      <c r="E178" s="83">
        <f>E177*H178</f>
        <v>7479824.8062932389</v>
      </c>
      <c r="F178" s="83">
        <f>F177*H178</f>
        <v>9973099.7417243179</v>
      </c>
      <c r="H178" s="83">
        <f>'Tabela 01'!L114</f>
        <v>49865498.708621591</v>
      </c>
    </row>
    <row r="179" spans="1:8" x14ac:dyDescent="0.15">
      <c r="A179" s="34" t="s">
        <v>10</v>
      </c>
      <c r="B179" s="34" t="s">
        <v>86</v>
      </c>
      <c r="C179" s="83">
        <f>H179*C177</f>
        <v>3035001.0681342897</v>
      </c>
      <c r="D179" s="83">
        <f>D177*H179</f>
        <v>252916.75567785749</v>
      </c>
      <c r="E179" s="83">
        <f>E177*H179</f>
        <v>758750.26703357243</v>
      </c>
      <c r="F179" s="83">
        <f>F177*H179</f>
        <v>1011667.02271143</v>
      </c>
      <c r="H179" s="83">
        <f>'Tabela 01'!L115</f>
        <v>5058335.1135571497</v>
      </c>
    </row>
    <row r="180" spans="1:8" x14ac:dyDescent="0.15">
      <c r="A180" s="34" t="s">
        <v>11</v>
      </c>
      <c r="B180" s="34" t="s">
        <v>87</v>
      </c>
      <c r="C180" s="83">
        <f>H180*C177</f>
        <v>426548.82725907385</v>
      </c>
      <c r="D180" s="83">
        <f>D177*H180</f>
        <v>35545.735604922826</v>
      </c>
      <c r="E180" s="83">
        <f>E177*H180</f>
        <v>106637.20681476846</v>
      </c>
      <c r="F180" s="83">
        <f>F177*H180</f>
        <v>142182.9424196913</v>
      </c>
      <c r="H180" s="83">
        <f>'Tabela 01'!L116</f>
        <v>710914.71209845645</v>
      </c>
    </row>
    <row r="242" spans="15:18" x14ac:dyDescent="0.15">
      <c r="O242" s="106"/>
      <c r="P242" s="106"/>
      <c r="Q242" s="106"/>
      <c r="R242" s="10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76"/>
  <sheetViews>
    <sheetView workbookViewId="0">
      <selection activeCell="E200" sqref="E200"/>
    </sheetView>
  </sheetViews>
  <sheetFormatPr defaultRowHeight="8.25" x14ac:dyDescent="0.15"/>
  <cols>
    <col min="1" max="7" width="9.140625" style="77"/>
    <col min="8" max="8" width="5.140625" style="77" bestFit="1" customWidth="1"/>
    <col min="9" max="13" width="9.140625" style="77"/>
    <col min="14" max="14" width="9" style="77" bestFit="1" customWidth="1"/>
    <col min="15" max="15" width="10" style="77" bestFit="1" customWidth="1"/>
    <col min="16" max="16" width="4.140625" style="77" customWidth="1"/>
    <col min="17" max="16384" width="9.140625" style="77"/>
  </cols>
  <sheetData>
    <row r="1" spans="1:23" x14ac:dyDescent="0.15">
      <c r="L1" s="106"/>
    </row>
    <row r="2" spans="1:23" x14ac:dyDescent="0.15">
      <c r="L2" s="106"/>
    </row>
    <row r="3" spans="1:23" x14ac:dyDescent="0.15">
      <c r="L3" s="106"/>
    </row>
    <row r="4" spans="1:23" x14ac:dyDescent="0.15">
      <c r="B4" s="112" t="s">
        <v>610</v>
      </c>
      <c r="L4" s="106"/>
      <c r="R4" s="112" t="s">
        <v>610</v>
      </c>
    </row>
    <row r="5" spans="1:23" x14ac:dyDescent="0.15">
      <c r="L5" s="106"/>
    </row>
    <row r="6" spans="1:23" x14ac:dyDescent="0.15">
      <c r="A6" s="144" t="s">
        <v>611</v>
      </c>
      <c r="B6" s="80"/>
      <c r="Q6" s="144" t="s">
        <v>611</v>
      </c>
      <c r="R6" s="80"/>
    </row>
    <row r="8" spans="1:23" x14ac:dyDescent="0.15">
      <c r="A8" s="89" t="s">
        <v>475</v>
      </c>
      <c r="C8" s="80" t="s">
        <v>439</v>
      </c>
      <c r="D8" s="80" t="s">
        <v>440</v>
      </c>
      <c r="E8" s="80" t="s">
        <v>441</v>
      </c>
      <c r="F8" s="80" t="s">
        <v>440</v>
      </c>
      <c r="G8" s="80" t="s">
        <v>445</v>
      </c>
    </row>
    <row r="9" spans="1:23" ht="41.25" x14ac:dyDescent="0.15">
      <c r="A9" s="93" t="s">
        <v>464</v>
      </c>
      <c r="B9" s="92" t="s">
        <v>442</v>
      </c>
      <c r="C9" s="101" t="s">
        <v>446</v>
      </c>
      <c r="D9" s="101" t="s">
        <v>447</v>
      </c>
      <c r="E9" s="101" t="s">
        <v>448</v>
      </c>
      <c r="F9" s="101" t="s">
        <v>449</v>
      </c>
      <c r="G9" s="103" t="s">
        <v>109</v>
      </c>
      <c r="H9" s="115">
        <v>2021</v>
      </c>
      <c r="I9" s="95" t="s">
        <v>438</v>
      </c>
      <c r="J9" s="94" t="s">
        <v>443</v>
      </c>
      <c r="K9" s="106" t="s">
        <v>450</v>
      </c>
      <c r="L9" s="106" t="s">
        <v>451</v>
      </c>
      <c r="M9" s="106" t="s">
        <v>452</v>
      </c>
      <c r="N9" s="102" t="s">
        <v>453</v>
      </c>
      <c r="Q9" s="95" t="s">
        <v>463</v>
      </c>
      <c r="R9" s="94" t="s">
        <v>444</v>
      </c>
      <c r="S9" s="106" t="s">
        <v>455</v>
      </c>
      <c r="T9" s="106" t="s">
        <v>456</v>
      </c>
      <c r="U9" s="106" t="s">
        <v>457</v>
      </c>
      <c r="V9" s="106" t="s">
        <v>458</v>
      </c>
    </row>
    <row r="10" spans="1:23" ht="16.5" x14ac:dyDescent="0.15">
      <c r="A10" s="105" t="s">
        <v>465</v>
      </c>
      <c r="B10" s="104">
        <f>SUM(C10:F13)</f>
        <v>98786.289999999979</v>
      </c>
      <c r="C10" s="100">
        <v>82434.039999999994</v>
      </c>
      <c r="D10" s="96">
        <v>691.75</v>
      </c>
      <c r="E10" s="100">
        <v>7848.57</v>
      </c>
      <c r="F10" s="100">
        <v>1724.8</v>
      </c>
      <c r="G10" s="108">
        <f>SUM(C10:F10)</f>
        <v>92699.159999999989</v>
      </c>
      <c r="I10" s="93" t="s">
        <v>454</v>
      </c>
      <c r="J10" s="107">
        <f>SUM(K10:N15)</f>
        <v>399353.23000000004</v>
      </c>
      <c r="K10" s="100">
        <v>243301.72</v>
      </c>
      <c r="L10" s="100">
        <v>5411.64</v>
      </c>
      <c r="M10" s="100">
        <v>20441.87</v>
      </c>
      <c r="N10" s="100">
        <v>5998.36</v>
      </c>
      <c r="O10" s="108">
        <f>SUM(K10:N10)</f>
        <v>275153.59000000003</v>
      </c>
      <c r="Q10" s="93" t="s">
        <v>459</v>
      </c>
      <c r="R10" s="107">
        <f>SUM(S10:V14)</f>
        <v>50906.1</v>
      </c>
      <c r="S10" s="100">
        <v>12917.66</v>
      </c>
      <c r="T10" s="96">
        <v>31.61</v>
      </c>
      <c r="U10" s="96"/>
      <c r="V10" s="96"/>
      <c r="W10" s="108">
        <f>SUM(S10:V10)</f>
        <v>12949.27</v>
      </c>
    </row>
    <row r="11" spans="1:23" ht="16.5" x14ac:dyDescent="0.15">
      <c r="A11" s="93" t="s">
        <v>466</v>
      </c>
      <c r="B11" s="92" t="s">
        <v>497</v>
      </c>
      <c r="C11" s="100">
        <v>1296.27</v>
      </c>
      <c r="D11" s="96"/>
      <c r="E11" s="96"/>
      <c r="F11" s="96"/>
      <c r="G11" s="108">
        <f t="shared" ref="G11:G13" si="0">SUM(C11:F11)</f>
        <v>1296.27</v>
      </c>
      <c r="I11" s="105" t="s">
        <v>482</v>
      </c>
      <c r="J11" s="92" t="s">
        <v>481</v>
      </c>
      <c r="K11" s="100">
        <v>8146.87</v>
      </c>
      <c r="L11" s="96">
        <v>0.98</v>
      </c>
      <c r="M11" s="96"/>
      <c r="N11" s="96"/>
      <c r="O11" s="108">
        <f t="shared" ref="O11:O15" si="1">SUM(K11:N11)</f>
        <v>8147.8499999999995</v>
      </c>
      <c r="Q11" s="93" t="s">
        <v>460</v>
      </c>
      <c r="R11" s="92" t="s">
        <v>490</v>
      </c>
      <c r="S11" s="100">
        <v>1371.5</v>
      </c>
      <c r="T11" s="96"/>
      <c r="U11" s="96">
        <v>51.25</v>
      </c>
      <c r="V11" s="96">
        <v>1.54</v>
      </c>
      <c r="W11" s="108">
        <f t="shared" ref="W11:W13" si="2">SUM(S11:V11)</f>
        <v>1424.29</v>
      </c>
    </row>
    <row r="12" spans="1:23" ht="16.5" x14ac:dyDescent="0.15">
      <c r="A12" s="93" t="s">
        <v>467</v>
      </c>
      <c r="B12" s="92" t="s">
        <v>468</v>
      </c>
      <c r="C12" s="96"/>
      <c r="D12" s="96">
        <v>63.84</v>
      </c>
      <c r="E12" s="108">
        <f>3304.12</f>
        <v>3304.12</v>
      </c>
      <c r="F12" s="108">
        <f>1420.23</f>
        <v>1420.23</v>
      </c>
      <c r="G12" s="108">
        <f t="shared" si="0"/>
        <v>4788.1900000000005</v>
      </c>
      <c r="I12" s="93" t="s">
        <v>483</v>
      </c>
      <c r="J12" s="92" t="s">
        <v>484</v>
      </c>
      <c r="K12" s="96">
        <v>445.25</v>
      </c>
      <c r="L12" s="96"/>
      <c r="M12" s="96"/>
      <c r="N12" s="96"/>
      <c r="O12" s="108">
        <f t="shared" si="1"/>
        <v>445.25</v>
      </c>
      <c r="Q12" s="93" t="s">
        <v>461</v>
      </c>
      <c r="R12" s="92" t="s">
        <v>492</v>
      </c>
      <c r="S12" s="96"/>
      <c r="T12" s="96"/>
      <c r="U12" s="96"/>
      <c r="V12" s="96"/>
      <c r="W12" s="108">
        <f t="shared" si="2"/>
        <v>0</v>
      </c>
    </row>
    <row r="13" spans="1:23" ht="16.5" x14ac:dyDescent="0.15">
      <c r="A13" s="93" t="s">
        <v>470</v>
      </c>
      <c r="B13" s="92" t="s">
        <v>469</v>
      </c>
      <c r="C13" s="96"/>
      <c r="D13" s="96">
        <v>2.67</v>
      </c>
      <c r="E13" s="96"/>
      <c r="F13" s="96"/>
      <c r="G13" s="108">
        <f t="shared" si="0"/>
        <v>2.67</v>
      </c>
      <c r="I13" s="93" t="s">
        <v>485</v>
      </c>
      <c r="J13" s="92" t="s">
        <v>480</v>
      </c>
      <c r="K13" s="100">
        <v>61703.39</v>
      </c>
      <c r="L13" s="96"/>
      <c r="M13" s="96"/>
      <c r="N13" s="96"/>
      <c r="O13" s="108">
        <f t="shared" si="1"/>
        <v>61703.39</v>
      </c>
      <c r="Q13" s="93" t="s">
        <v>462</v>
      </c>
      <c r="R13" s="92" t="s">
        <v>491</v>
      </c>
      <c r="S13" s="100">
        <v>31879.8</v>
      </c>
      <c r="T13" s="100">
        <v>3864.21</v>
      </c>
      <c r="U13" s="96">
        <v>702.61</v>
      </c>
      <c r="V13" s="96">
        <v>62.25</v>
      </c>
      <c r="W13" s="108">
        <f t="shared" si="2"/>
        <v>36508.870000000003</v>
      </c>
    </row>
    <row r="14" spans="1:23" ht="16.5" x14ac:dyDescent="0.15">
      <c r="A14" s="118"/>
      <c r="B14" s="119"/>
      <c r="C14" s="120"/>
      <c r="D14" s="120"/>
      <c r="E14" s="120"/>
      <c r="F14" s="120"/>
      <c r="G14" s="121"/>
      <c r="I14" s="93" t="s">
        <v>487</v>
      </c>
      <c r="J14" s="92" t="s">
        <v>486</v>
      </c>
      <c r="K14" s="100">
        <v>43723.38</v>
      </c>
      <c r="L14" s="96"/>
      <c r="M14" s="96"/>
      <c r="N14" s="96"/>
      <c r="O14" s="108">
        <f t="shared" si="1"/>
        <v>43723.38</v>
      </c>
      <c r="Q14" s="93" t="s">
        <v>494</v>
      </c>
      <c r="R14" s="92" t="s">
        <v>493</v>
      </c>
      <c r="S14" s="100">
        <v>0.24</v>
      </c>
      <c r="T14" s="100"/>
      <c r="U14" s="96">
        <f>7.58</f>
        <v>7.58</v>
      </c>
      <c r="V14" s="96">
        <v>15.85</v>
      </c>
      <c r="W14" s="108">
        <f>SUM(S14:V14)</f>
        <v>23.67</v>
      </c>
    </row>
    <row r="15" spans="1:23" x14ac:dyDescent="0.15">
      <c r="A15" s="118"/>
      <c r="B15" s="119"/>
      <c r="C15" s="120"/>
      <c r="D15" s="120"/>
      <c r="E15" s="120"/>
      <c r="F15" s="120"/>
      <c r="G15" s="121"/>
      <c r="I15" s="93" t="s">
        <v>489</v>
      </c>
      <c r="J15" s="92" t="s">
        <v>488</v>
      </c>
      <c r="K15" s="100">
        <v>10179.77</v>
      </c>
      <c r="L15" s="96"/>
      <c r="M15" s="96"/>
      <c r="N15" s="96"/>
      <c r="O15" s="108">
        <f t="shared" si="1"/>
        <v>10179.77</v>
      </c>
      <c r="Q15" s="93"/>
      <c r="R15" s="92"/>
      <c r="S15" s="100"/>
      <c r="T15" s="100"/>
      <c r="U15" s="96"/>
      <c r="V15" s="96"/>
      <c r="W15" s="108"/>
    </row>
    <row r="17" spans="1:23" x14ac:dyDescent="0.15">
      <c r="A17" s="125" t="s">
        <v>495</v>
      </c>
      <c r="B17" s="126">
        <f>B10+J10+R10-'Tabela 01'!G16</f>
        <v>0</v>
      </c>
      <c r="C17" s="108">
        <f>'Tabela 01'!I16</f>
        <v>831252.51520473894</v>
      </c>
      <c r="D17" s="108">
        <f>'Tabela 01'!J16</f>
        <v>642846.61329000012</v>
      </c>
      <c r="E17" s="108">
        <f>'Tabela 01'!K16</f>
        <v>712638.28527503856</v>
      </c>
      <c r="F17" s="108">
        <f>'Tabela 01'!L16</f>
        <v>720669.4487231822</v>
      </c>
      <c r="G17" s="127" t="s">
        <v>496</v>
      </c>
    </row>
    <row r="18" spans="1:23" x14ac:dyDescent="0.15">
      <c r="A18" s="89" t="s">
        <v>475</v>
      </c>
      <c r="C18" s="80" t="s">
        <v>439</v>
      </c>
      <c r="D18" s="80" t="s">
        <v>440</v>
      </c>
      <c r="E18" s="80" t="s">
        <v>441</v>
      </c>
      <c r="F18" s="80" t="s">
        <v>440</v>
      </c>
      <c r="G18" s="80" t="s">
        <v>445</v>
      </c>
      <c r="K18" s="116">
        <f>B20+J20+R20</f>
        <v>0.99999999999999978</v>
      </c>
    </row>
    <row r="19" spans="1:23" ht="16.5" x14ac:dyDescent="0.15">
      <c r="A19" s="93" t="s">
        <v>464</v>
      </c>
      <c r="B19" s="92" t="s">
        <v>442</v>
      </c>
      <c r="C19" s="101" t="s">
        <v>446</v>
      </c>
      <c r="D19" s="101" t="s">
        <v>447</v>
      </c>
      <c r="E19" s="101" t="s">
        <v>448</v>
      </c>
      <c r="F19" s="101" t="s">
        <v>449</v>
      </c>
      <c r="G19" s="103" t="s">
        <v>109</v>
      </c>
      <c r="J19" s="94" t="s">
        <v>443</v>
      </c>
      <c r="K19" s="106" t="s">
        <v>450</v>
      </c>
      <c r="L19" s="106" t="s">
        <v>451</v>
      </c>
      <c r="M19" s="106" t="s">
        <v>452</v>
      </c>
      <c r="N19" s="102" t="s">
        <v>453</v>
      </c>
      <c r="R19" s="94" t="s">
        <v>444</v>
      </c>
      <c r="S19" s="106" t="s">
        <v>455</v>
      </c>
      <c r="T19" s="106" t="s">
        <v>456</v>
      </c>
      <c r="U19" s="106" t="s">
        <v>457</v>
      </c>
      <c r="V19" s="106" t="s">
        <v>458</v>
      </c>
    </row>
    <row r="20" spans="1:23" ht="16.5" x14ac:dyDescent="0.15">
      <c r="A20" s="105" t="s">
        <v>465</v>
      </c>
      <c r="B20" s="114">
        <f>SUM(C20:F23)</f>
        <v>0.17992364641757813</v>
      </c>
      <c r="C20" s="113">
        <f>C10/($B$10+$J$10+$R$10)</f>
        <v>0.15014060215979866</v>
      </c>
      <c r="D20" s="113">
        <f t="shared" ref="D20:F20" si="3">D10/($B$10+$J$10+$R$10)</f>
        <v>1.2599135204830519E-3</v>
      </c>
      <c r="E20" s="113">
        <f t="shared" si="3"/>
        <v>1.4294932359172631E-2</v>
      </c>
      <c r="F20" s="113">
        <f t="shared" si="3"/>
        <v>3.1414511602879192E-3</v>
      </c>
      <c r="G20" s="108">
        <f>SUM(C20:F20)</f>
        <v>0.16883689919974224</v>
      </c>
      <c r="I20" s="93" t="s">
        <v>454</v>
      </c>
      <c r="J20" s="114">
        <f>SUM(K20:N25)</f>
        <v>0.72735892146812853</v>
      </c>
      <c r="K20" s="117">
        <f t="shared" ref="K20:N21" si="4">K10/($B$10+$J$10+$R$10)</f>
        <v>0.44313570883235531</v>
      </c>
      <c r="L20" s="117">
        <f t="shared" si="4"/>
        <v>9.8564487227855505E-3</v>
      </c>
      <c r="M20" s="117">
        <f t="shared" si="4"/>
        <v>3.7231642062821667E-2</v>
      </c>
      <c r="N20" s="117">
        <f t="shared" si="4"/>
        <v>1.0925066663859371E-2</v>
      </c>
      <c r="O20" s="108">
        <f>SUM(K20:N20)</f>
        <v>0.50114886628182187</v>
      </c>
      <c r="Q20" s="93" t="s">
        <v>459</v>
      </c>
      <c r="R20" s="114">
        <f>SUM(S20:V24)</f>
        <v>9.2717432114293161E-2</v>
      </c>
      <c r="S20" s="117">
        <f>S10/($B$10+$J$10+$R$10)</f>
        <v>2.3527480284789449E-2</v>
      </c>
      <c r="T20" s="117">
        <f t="shared" ref="T20:V20" si="5">T10/($B$10+$J$10+$R$10)</f>
        <v>5.7572629392799818E-5</v>
      </c>
      <c r="U20" s="117">
        <f t="shared" si="5"/>
        <v>0</v>
      </c>
      <c r="V20" s="117">
        <f t="shared" si="5"/>
        <v>0</v>
      </c>
      <c r="W20" s="108">
        <f>SUM(S20:V20)</f>
        <v>2.3585052914182249E-2</v>
      </c>
    </row>
    <row r="21" spans="1:23" ht="16.5" x14ac:dyDescent="0.15">
      <c r="A21" s="93" t="s">
        <v>466</v>
      </c>
      <c r="B21" s="92"/>
      <c r="C21" s="113">
        <f t="shared" ref="C21:F21" si="6">C11/($B$10+$J$10+$R$10)</f>
        <v>2.360951354096951E-3</v>
      </c>
      <c r="D21" s="113">
        <f t="shared" si="6"/>
        <v>0</v>
      </c>
      <c r="E21" s="113">
        <f t="shared" si="6"/>
        <v>0</v>
      </c>
      <c r="F21" s="113">
        <f t="shared" si="6"/>
        <v>0</v>
      </c>
      <c r="G21" s="108">
        <f t="shared" ref="G21:G23" si="7">SUM(C21:F21)</f>
        <v>2.360951354096951E-3</v>
      </c>
      <c r="I21" s="105" t="s">
        <v>482</v>
      </c>
      <c r="J21" s="92" t="s">
        <v>481</v>
      </c>
      <c r="K21" s="117">
        <f t="shared" si="4"/>
        <v>1.4838238760560552E-2</v>
      </c>
      <c r="L21" s="117">
        <f t="shared" si="4"/>
        <v>1.7849154319817722E-6</v>
      </c>
      <c r="M21" s="117">
        <f t="shared" si="4"/>
        <v>0</v>
      </c>
      <c r="N21" s="117">
        <f t="shared" si="4"/>
        <v>0</v>
      </c>
      <c r="O21" s="108">
        <f t="shared" ref="O21:O23" si="8">SUM(K21:N21)</f>
        <v>1.4840023675992534E-2</v>
      </c>
      <c r="Q21" s="93" t="s">
        <v>460</v>
      </c>
      <c r="R21" s="92" t="s">
        <v>490</v>
      </c>
      <c r="S21" s="117">
        <f t="shared" ref="S21:V21" si="9">S11/($B$10+$J$10+$R$10)</f>
        <v>2.4979709336357151E-3</v>
      </c>
      <c r="T21" s="117">
        <f t="shared" si="9"/>
        <v>0</v>
      </c>
      <c r="U21" s="117">
        <f t="shared" si="9"/>
        <v>9.3343791723536561E-5</v>
      </c>
      <c r="V21" s="117">
        <f t="shared" si="9"/>
        <v>2.8048671073999281E-6</v>
      </c>
      <c r="W21" s="108">
        <f t="shared" ref="W21:W23" si="10">SUM(S21:V21)</f>
        <v>2.5941195924666519E-3</v>
      </c>
    </row>
    <row r="22" spans="1:23" ht="16.5" x14ac:dyDescent="0.15">
      <c r="A22" s="93" t="s">
        <v>467</v>
      </c>
      <c r="B22" s="92" t="s">
        <v>468</v>
      </c>
      <c r="C22" s="113">
        <f t="shared" ref="C22:F22" si="11">C12/($B$10+$J$10+$R$10)</f>
        <v>0</v>
      </c>
      <c r="D22" s="113">
        <f t="shared" si="11"/>
        <v>1.1627449099766975E-4</v>
      </c>
      <c r="E22" s="113">
        <f t="shared" si="11"/>
        <v>6.0179334460404221E-3</v>
      </c>
      <c r="F22" s="113">
        <f t="shared" si="11"/>
        <v>2.5867249428198698E-3</v>
      </c>
      <c r="G22" s="108">
        <f t="shared" si="7"/>
        <v>8.7209328798579615E-3</v>
      </c>
      <c r="I22" s="93" t="s">
        <v>483</v>
      </c>
      <c r="J22" s="92" t="s">
        <v>484</v>
      </c>
      <c r="K22" s="117">
        <f t="shared" ref="K22:N22" si="12">K12/($B$10+$J$10+$R$10)</f>
        <v>8.1095264907131035E-4</v>
      </c>
      <c r="L22" s="117">
        <f t="shared" si="12"/>
        <v>0</v>
      </c>
      <c r="M22" s="117">
        <f t="shared" si="12"/>
        <v>0</v>
      </c>
      <c r="N22" s="117">
        <f t="shared" si="12"/>
        <v>0</v>
      </c>
      <c r="O22" s="108">
        <f t="shared" si="8"/>
        <v>8.1095264907131035E-4</v>
      </c>
      <c r="Q22" s="93" t="s">
        <v>461</v>
      </c>
      <c r="R22" s="92" t="s">
        <v>492</v>
      </c>
      <c r="S22" s="117">
        <f t="shared" ref="S22:V22" si="13">S12/($B$10+$J$10+$R$10)</f>
        <v>0</v>
      </c>
      <c r="T22" s="117">
        <f t="shared" si="13"/>
        <v>0</v>
      </c>
      <c r="U22" s="117">
        <f t="shared" si="13"/>
        <v>0</v>
      </c>
      <c r="V22" s="117">
        <f t="shared" si="13"/>
        <v>0</v>
      </c>
      <c r="W22" s="108">
        <f t="shared" si="10"/>
        <v>0</v>
      </c>
    </row>
    <row r="23" spans="1:23" ht="16.5" x14ac:dyDescent="0.15">
      <c r="A23" s="93" t="s">
        <v>470</v>
      </c>
      <c r="B23" s="92" t="s">
        <v>469</v>
      </c>
      <c r="C23" s="113">
        <f t="shared" ref="C23:F23" si="14">C13/($B$10+$J$10+$R$10)</f>
        <v>0</v>
      </c>
      <c r="D23" s="113">
        <f t="shared" si="14"/>
        <v>4.862983881011563E-6</v>
      </c>
      <c r="E23" s="113">
        <f t="shared" si="14"/>
        <v>0</v>
      </c>
      <c r="F23" s="113">
        <f t="shared" si="14"/>
        <v>0</v>
      </c>
      <c r="G23" s="108">
        <f t="shared" si="7"/>
        <v>4.862983881011563E-6</v>
      </c>
      <c r="I23" s="93" t="s">
        <v>485</v>
      </c>
      <c r="J23" s="92" t="s">
        <v>480</v>
      </c>
      <c r="K23" s="117">
        <f t="shared" ref="K23:N23" si="15">K13/($B$10+$J$10+$R$10)</f>
        <v>0.11238299287407119</v>
      </c>
      <c r="L23" s="117">
        <f t="shared" si="15"/>
        <v>0</v>
      </c>
      <c r="M23" s="117">
        <f t="shared" si="15"/>
        <v>0</v>
      </c>
      <c r="N23" s="117">
        <f t="shared" si="15"/>
        <v>0</v>
      </c>
      <c r="O23" s="108">
        <f t="shared" si="8"/>
        <v>0.11238299287407119</v>
      </c>
      <c r="Q23" s="93" t="s">
        <v>462</v>
      </c>
      <c r="R23" s="92" t="s">
        <v>491</v>
      </c>
      <c r="S23" s="117">
        <f t="shared" ref="S23:V24" si="16">S13/($B$10+$J$10+$R$10)</f>
        <v>5.8064027539278064E-2</v>
      </c>
      <c r="T23" s="117">
        <f t="shared" si="16"/>
        <v>7.0380490422635557E-3</v>
      </c>
      <c r="U23" s="117">
        <f t="shared" si="16"/>
        <v>1.2796932976170542E-3</v>
      </c>
      <c r="V23" s="117">
        <f t="shared" si="16"/>
        <v>1.1337855677639319E-4</v>
      </c>
      <c r="W23" s="108">
        <f t="shared" si="10"/>
        <v>6.649514843593507E-2</v>
      </c>
    </row>
    <row r="24" spans="1:23" ht="16.5" x14ac:dyDescent="0.15">
      <c r="I24" s="93" t="s">
        <v>487</v>
      </c>
      <c r="J24" s="92" t="s">
        <v>486</v>
      </c>
      <c r="K24" s="117">
        <f t="shared" ref="K24:N24" si="17">K14/($B$10+$J$10+$R$10)</f>
        <v>7.963524051061549E-2</v>
      </c>
      <c r="L24" s="117">
        <f t="shared" si="17"/>
        <v>0</v>
      </c>
      <c r="M24" s="117">
        <f t="shared" si="17"/>
        <v>0</v>
      </c>
      <c r="N24" s="117">
        <f t="shared" si="17"/>
        <v>0</v>
      </c>
      <c r="O24" s="108">
        <f t="shared" ref="O24:O25" si="18">SUM(K24:N24)</f>
        <v>7.963524051061549E-2</v>
      </c>
      <c r="Q24" s="93" t="s">
        <v>494</v>
      </c>
      <c r="R24" s="92" t="s">
        <v>493</v>
      </c>
      <c r="S24" s="117">
        <f t="shared" si="16"/>
        <v>4.3712214660778096E-7</v>
      </c>
      <c r="T24" s="117">
        <f t="shared" si="16"/>
        <v>0</v>
      </c>
      <c r="U24" s="117">
        <f t="shared" si="16"/>
        <v>1.3805774463695749E-5</v>
      </c>
      <c r="V24" s="117">
        <f t="shared" si="16"/>
        <v>2.8868275098888868E-5</v>
      </c>
      <c r="W24" s="108">
        <f t="shared" ref="W24" si="19">SUM(S24:V24)</f>
        <v>4.3111171709192398E-5</v>
      </c>
    </row>
    <row r="25" spans="1:23" x14ac:dyDescent="0.15">
      <c r="I25" s="93" t="s">
        <v>489</v>
      </c>
      <c r="J25" s="92" t="s">
        <v>488</v>
      </c>
      <c r="K25" s="117">
        <f t="shared" ref="K25:N25" si="20">K15/($B$10+$J$10+$R$10)</f>
        <v>1.8540845476556211E-2</v>
      </c>
      <c r="L25" s="117">
        <f t="shared" si="20"/>
        <v>0</v>
      </c>
      <c r="M25" s="117">
        <f t="shared" si="20"/>
        <v>0</v>
      </c>
      <c r="N25" s="117">
        <f t="shared" si="20"/>
        <v>0</v>
      </c>
      <c r="O25" s="108">
        <f t="shared" si="18"/>
        <v>1.8540845476556211E-2</v>
      </c>
      <c r="Q25" s="118"/>
      <c r="R25" s="119"/>
      <c r="S25" s="123"/>
      <c r="T25" s="123"/>
      <c r="U25" s="123"/>
      <c r="V25" s="123"/>
      <c r="W25" s="121"/>
    </row>
    <row r="27" spans="1:23" x14ac:dyDescent="0.15">
      <c r="A27" s="89" t="s">
        <v>475</v>
      </c>
      <c r="B27" s="115">
        <v>2022</v>
      </c>
      <c r="C27" s="80" t="s">
        <v>439</v>
      </c>
      <c r="D27" s="80" t="s">
        <v>440</v>
      </c>
      <c r="E27" s="80" t="s">
        <v>441</v>
      </c>
      <c r="F27" s="80" t="s">
        <v>440</v>
      </c>
      <c r="G27" s="80" t="s">
        <v>445</v>
      </c>
      <c r="I27" s="115">
        <v>2022</v>
      </c>
      <c r="J27" s="80" t="s">
        <v>439</v>
      </c>
      <c r="K27" s="80" t="s">
        <v>440</v>
      </c>
      <c r="L27" s="80" t="s">
        <v>441</v>
      </c>
      <c r="M27" s="80" t="s">
        <v>440</v>
      </c>
      <c r="N27" s="80" t="s">
        <v>445</v>
      </c>
      <c r="O27" s="124">
        <f>B29+J29+R29</f>
        <v>831252.51520473883</v>
      </c>
      <c r="Q27" s="115">
        <v>2022</v>
      </c>
      <c r="R27" s="80" t="s">
        <v>439</v>
      </c>
      <c r="S27" s="80" t="s">
        <v>440</v>
      </c>
      <c r="T27" s="80" t="s">
        <v>441</v>
      </c>
      <c r="U27" s="80" t="s">
        <v>440</v>
      </c>
      <c r="V27" s="80" t="s">
        <v>445</v>
      </c>
    </row>
    <row r="28" spans="1:23" ht="16.5" x14ac:dyDescent="0.15">
      <c r="A28" s="93" t="s">
        <v>464</v>
      </c>
      <c r="B28" s="92" t="s">
        <v>442</v>
      </c>
      <c r="C28" s="101" t="s">
        <v>446</v>
      </c>
      <c r="D28" s="101" t="s">
        <v>447</v>
      </c>
      <c r="E28" s="101" t="s">
        <v>448</v>
      </c>
      <c r="F28" s="101" t="s">
        <v>449</v>
      </c>
      <c r="G28" s="103" t="s">
        <v>109</v>
      </c>
      <c r="J28" s="94" t="s">
        <v>443</v>
      </c>
      <c r="K28" s="106" t="s">
        <v>450</v>
      </c>
      <c r="L28" s="106" t="s">
        <v>451</v>
      </c>
      <c r="M28" s="106" t="s">
        <v>452</v>
      </c>
      <c r="N28" s="102" t="s">
        <v>453</v>
      </c>
    </row>
    <row r="29" spans="1:23" ht="16.5" x14ac:dyDescent="0.15">
      <c r="A29" s="105" t="s">
        <v>465</v>
      </c>
      <c r="B29" s="104">
        <f>SUM(C29:F32)</f>
        <v>149561.98362941996</v>
      </c>
      <c r="C29" s="100">
        <f>C20*$C$17</f>
        <v>124804.7531796867</v>
      </c>
      <c r="D29" s="100">
        <f t="shared" ref="D29:E29" si="21">D20*$C$17</f>
        <v>1047.3062828419943</v>
      </c>
      <c r="E29" s="100">
        <f t="shared" si="21"/>
        <v>11882.698478243861</v>
      </c>
      <c r="F29" s="100">
        <f>F20*$C$17</f>
        <v>2611.3391783821785</v>
      </c>
      <c r="G29" s="108">
        <f>SUM(C29:F29)</f>
        <v>140346.09711915473</v>
      </c>
      <c r="I29" s="93" t="s">
        <v>454</v>
      </c>
      <c r="J29" s="107">
        <f>SUM(K29:N34)</f>
        <v>604618.93292698811</v>
      </c>
      <c r="K29" s="100">
        <f>K20*$C$17</f>
        <v>368357.67254393018</v>
      </c>
      <c r="L29" s="100">
        <f t="shared" ref="L29:M29" si="22">L20*$C$17</f>
        <v>8193.1977918020257</v>
      </c>
      <c r="M29" s="100">
        <f t="shared" si="22"/>
        <v>30948.896109923066</v>
      </c>
      <c r="N29" s="100">
        <f>N20*$C$17</f>
        <v>9081.4891431125488</v>
      </c>
      <c r="O29" s="108">
        <f>SUM(K29:N29)</f>
        <v>416581.25558876782</v>
      </c>
      <c r="Q29" s="93" t="s">
        <v>459</v>
      </c>
      <c r="R29" s="107">
        <f>SUM(S29:V33)</f>
        <v>77071.598648330808</v>
      </c>
      <c r="S29" s="100">
        <f>S20*$C$17</f>
        <v>19557.277163161136</v>
      </c>
      <c r="T29" s="100">
        <f t="shared" ref="T29:U29" si="23">T20*$C$17</f>
        <v>47.85739298971513</v>
      </c>
      <c r="U29" s="100">
        <f t="shared" si="23"/>
        <v>0</v>
      </c>
      <c r="V29" s="100">
        <f>V20*$C$17</f>
        <v>0</v>
      </c>
      <c r="W29" s="108">
        <f>SUM(S29:V29)</f>
        <v>19605.13455615085</v>
      </c>
    </row>
    <row r="30" spans="1:23" ht="16.5" x14ac:dyDescent="0.15">
      <c r="A30" s="93" t="s">
        <v>466</v>
      </c>
      <c r="B30" s="92" t="s">
        <v>497</v>
      </c>
      <c r="C30" s="100">
        <f t="shared" ref="C30:F30" si="24">C21*$C$17</f>
        <v>1962.5467513691246</v>
      </c>
      <c r="D30" s="100">
        <f t="shared" si="24"/>
        <v>0</v>
      </c>
      <c r="E30" s="100">
        <f t="shared" si="24"/>
        <v>0</v>
      </c>
      <c r="F30" s="100">
        <f t="shared" si="24"/>
        <v>0</v>
      </c>
      <c r="G30" s="108">
        <f t="shared" ref="G30:G32" si="25">SUM(C30:F30)</f>
        <v>1962.5467513691246</v>
      </c>
      <c r="I30" s="105" t="s">
        <v>482</v>
      </c>
      <c r="J30" s="92" t="s">
        <v>481</v>
      </c>
      <c r="K30" s="100">
        <f>K21*$C$17</f>
        <v>12334.323290924407</v>
      </c>
      <c r="L30" s="100">
        <f>L21*$C$17</f>
        <v>1.4837154422626013</v>
      </c>
      <c r="M30" s="100">
        <f>M21*$C$17</f>
        <v>0</v>
      </c>
      <c r="N30" s="100">
        <f>N21*$C$17</f>
        <v>0</v>
      </c>
      <c r="O30" s="108">
        <f t="shared" ref="O30:O32" si="26">SUM(K30:N30)</f>
        <v>12335.807006366669</v>
      </c>
      <c r="Q30" s="93" t="s">
        <v>460</v>
      </c>
      <c r="R30" s="92" t="s">
        <v>490</v>
      </c>
      <c r="S30" s="100">
        <f t="shared" ref="S30:V30" si="27">S21*$C$17</f>
        <v>2076.4446214930181</v>
      </c>
      <c r="T30" s="100">
        <f t="shared" si="27"/>
        <v>0</v>
      </c>
      <c r="U30" s="100">
        <f t="shared" si="27"/>
        <v>77.592261648937054</v>
      </c>
      <c r="V30" s="100">
        <f t="shared" si="27"/>
        <v>2.3315528378412309</v>
      </c>
      <c r="W30" s="108">
        <f t="shared" ref="W30:W32" si="28">SUM(S30:V30)</f>
        <v>2156.3684359797962</v>
      </c>
    </row>
    <row r="31" spans="1:23" ht="16.5" x14ac:dyDescent="0.15">
      <c r="A31" s="93" t="s">
        <v>467</v>
      </c>
      <c r="B31" s="92" t="s">
        <v>468</v>
      </c>
      <c r="C31" s="100">
        <f>C22*$C$17</f>
        <v>0</v>
      </c>
      <c r="D31" s="100">
        <f>D22*$C$17</f>
        <v>96.653463095963758</v>
      </c>
      <c r="E31" s="100">
        <f>E22*$C$17</f>
        <v>5002.4223133558226</v>
      </c>
      <c r="F31" s="100">
        <f t="shared" ref="F31" si="29">F22*$C$17</f>
        <v>2150.2216148618513</v>
      </c>
      <c r="G31" s="108">
        <f t="shared" si="25"/>
        <v>7249.2973913136375</v>
      </c>
      <c r="I31" s="93" t="s">
        <v>483</v>
      </c>
      <c r="J31" s="92" t="s">
        <v>484</v>
      </c>
      <c r="K31" s="100">
        <f t="shared" ref="K31:N31" si="30">K22*$C$17</f>
        <v>674.10642925247271</v>
      </c>
      <c r="L31" s="100">
        <f t="shared" si="30"/>
        <v>0</v>
      </c>
      <c r="M31" s="100">
        <f t="shared" si="30"/>
        <v>0</v>
      </c>
      <c r="N31" s="100">
        <f t="shared" si="30"/>
        <v>0</v>
      </c>
      <c r="O31" s="108">
        <f t="shared" si="26"/>
        <v>674.10642925247271</v>
      </c>
      <c r="Q31" s="93" t="s">
        <v>461</v>
      </c>
      <c r="R31" s="92" t="s">
        <v>492</v>
      </c>
      <c r="S31" s="100">
        <f t="shared" ref="S31:V31" si="31">S22*$C$17</f>
        <v>0</v>
      </c>
      <c r="T31" s="100">
        <f t="shared" si="31"/>
        <v>0</v>
      </c>
      <c r="U31" s="100">
        <f t="shared" si="31"/>
        <v>0</v>
      </c>
      <c r="V31" s="100">
        <f t="shared" si="31"/>
        <v>0</v>
      </c>
      <c r="W31" s="108">
        <f t="shared" si="28"/>
        <v>0</v>
      </c>
    </row>
    <row r="32" spans="1:23" ht="16.5" x14ac:dyDescent="0.15">
      <c r="A32" s="93" t="s">
        <v>470</v>
      </c>
      <c r="B32" s="92" t="s">
        <v>469</v>
      </c>
      <c r="C32" s="100">
        <f t="shared" ref="C32:F32" si="32">C23*$C$17</f>
        <v>0</v>
      </c>
      <c r="D32" s="100">
        <f t="shared" si="32"/>
        <v>4.0423675824909644</v>
      </c>
      <c r="E32" s="100">
        <f t="shared" si="32"/>
        <v>0</v>
      </c>
      <c r="F32" s="100">
        <f t="shared" si="32"/>
        <v>0</v>
      </c>
      <c r="G32" s="108">
        <f t="shared" si="25"/>
        <v>4.0423675824909644</v>
      </c>
      <c r="I32" s="93" t="s">
        <v>485</v>
      </c>
      <c r="J32" s="92" t="s">
        <v>480</v>
      </c>
      <c r="K32" s="100">
        <f t="shared" ref="K32:N32" si="33">K23*$C$17</f>
        <v>93418.645492807933</v>
      </c>
      <c r="L32" s="100">
        <f t="shared" si="33"/>
        <v>0</v>
      </c>
      <c r="M32" s="100">
        <f t="shared" si="33"/>
        <v>0</v>
      </c>
      <c r="N32" s="100">
        <f t="shared" si="33"/>
        <v>0</v>
      </c>
      <c r="O32" s="108">
        <f t="shared" si="26"/>
        <v>93418.645492807933</v>
      </c>
      <c r="Q32" s="93" t="s">
        <v>462</v>
      </c>
      <c r="R32" s="92" t="s">
        <v>491</v>
      </c>
      <c r="S32" s="100">
        <f t="shared" ref="S32:V33" si="34">S23*$C$17</f>
        <v>48265.868934942118</v>
      </c>
      <c r="T32" s="100">
        <f t="shared" si="34"/>
        <v>5850.3959685158843</v>
      </c>
      <c r="U32" s="100">
        <f t="shared" si="34"/>
        <v>1063.7482723348228</v>
      </c>
      <c r="V32" s="100">
        <f t="shared" si="34"/>
        <v>94.246210490660133</v>
      </c>
      <c r="W32" s="108">
        <f t="shared" si="28"/>
        <v>55274.259386283484</v>
      </c>
    </row>
    <row r="33" spans="1:23" ht="16.5" x14ac:dyDescent="0.15">
      <c r="I33" s="93" t="s">
        <v>487</v>
      </c>
      <c r="J33" s="92" t="s">
        <v>486</v>
      </c>
      <c r="K33" s="100">
        <f t="shared" ref="K33:N33" si="35">K24*$C$17</f>
        <v>66196.993973383447</v>
      </c>
      <c r="L33" s="100">
        <f t="shared" si="35"/>
        <v>0</v>
      </c>
      <c r="M33" s="100">
        <f t="shared" si="35"/>
        <v>0</v>
      </c>
      <c r="N33" s="100">
        <f t="shared" si="35"/>
        <v>0</v>
      </c>
      <c r="O33" s="108">
        <f t="shared" ref="O33:O34" si="36">SUM(K33:N33)</f>
        <v>66196.993973383447</v>
      </c>
      <c r="Q33" s="93" t="s">
        <v>494</v>
      </c>
      <c r="R33" s="92" t="s">
        <v>493</v>
      </c>
      <c r="S33" s="100">
        <f t="shared" si="34"/>
        <v>0.36335888381941256</v>
      </c>
      <c r="T33" s="100">
        <f t="shared" si="34"/>
        <v>0</v>
      </c>
      <c r="U33" s="100">
        <f t="shared" si="34"/>
        <v>11.476084747296447</v>
      </c>
      <c r="V33" s="100">
        <f t="shared" si="34"/>
        <v>23.996826285573704</v>
      </c>
      <c r="W33" s="108">
        <f t="shared" ref="W33" si="37">SUM(S33:V33)</f>
        <v>35.83626991668956</v>
      </c>
    </row>
    <row r="34" spans="1:23" x14ac:dyDescent="0.15">
      <c r="I34" s="93" t="s">
        <v>489</v>
      </c>
      <c r="J34" s="92" t="s">
        <v>488</v>
      </c>
      <c r="K34" s="100">
        <f>K25*$C$17</f>
        <v>15412.124436409757</v>
      </c>
      <c r="L34" s="100">
        <f>L25*$C$17</f>
        <v>0</v>
      </c>
      <c r="M34" s="100">
        <f>M25*$C$17</f>
        <v>0</v>
      </c>
      <c r="N34" s="100">
        <f>N25*$C$17</f>
        <v>0</v>
      </c>
      <c r="O34" s="108">
        <f t="shared" si="36"/>
        <v>15412.124436409757</v>
      </c>
      <c r="Q34" s="118"/>
      <c r="R34" s="119"/>
      <c r="S34" s="122"/>
      <c r="T34" s="122"/>
      <c r="U34" s="122"/>
      <c r="V34" s="122"/>
      <c r="W34" s="121"/>
    </row>
    <row r="35" spans="1:23" x14ac:dyDescent="0.15">
      <c r="I35" s="118"/>
      <c r="J35" s="119"/>
      <c r="K35" s="122"/>
      <c r="L35" s="122"/>
      <c r="M35" s="122"/>
      <c r="N35" s="122"/>
      <c r="O35" s="121"/>
      <c r="Q35" s="118"/>
      <c r="R35" s="119"/>
      <c r="S35" s="122"/>
      <c r="T35" s="122"/>
      <c r="U35" s="122"/>
      <c r="V35" s="122"/>
      <c r="W35" s="121"/>
    </row>
    <row r="36" spans="1:23" x14ac:dyDescent="0.15">
      <c r="I36" s="118"/>
      <c r="J36" s="119"/>
      <c r="K36" s="122"/>
      <c r="L36" s="122"/>
      <c r="M36" s="122"/>
      <c r="N36" s="122"/>
      <c r="O36" s="121"/>
      <c r="Q36" s="118"/>
      <c r="R36" s="119"/>
      <c r="S36" s="122"/>
      <c r="T36" s="122"/>
      <c r="U36" s="122"/>
      <c r="V36" s="122"/>
      <c r="W36" s="121"/>
    </row>
    <row r="37" spans="1:23" x14ac:dyDescent="0.15">
      <c r="I37" s="118"/>
      <c r="J37" s="119"/>
      <c r="K37" s="122"/>
      <c r="L37" s="122"/>
      <c r="M37" s="122"/>
      <c r="N37" s="122"/>
      <c r="O37" s="121"/>
      <c r="Q37" s="118"/>
      <c r="R37" s="119"/>
      <c r="S37" s="122"/>
      <c r="T37" s="122"/>
      <c r="U37" s="122"/>
      <c r="V37" s="122"/>
      <c r="W37" s="121"/>
    </row>
    <row r="38" spans="1:23" x14ac:dyDescent="0.15">
      <c r="I38" s="118"/>
      <c r="J38" s="119"/>
      <c r="K38" s="122"/>
      <c r="L38" s="122"/>
      <c r="M38" s="122"/>
      <c r="N38" s="122"/>
      <c r="O38" s="121"/>
      <c r="Q38" s="118"/>
      <c r="R38" s="119"/>
      <c r="S38" s="122"/>
      <c r="T38" s="122"/>
      <c r="U38" s="122"/>
      <c r="V38" s="122"/>
      <c r="W38" s="121"/>
    </row>
    <row r="39" spans="1:23" x14ac:dyDescent="0.15">
      <c r="I39" s="118"/>
      <c r="J39" s="119"/>
      <c r="K39" s="122"/>
      <c r="L39" s="122"/>
      <c r="M39" s="122"/>
      <c r="N39" s="122"/>
      <c r="O39" s="121"/>
      <c r="Q39" s="118"/>
      <c r="R39" s="119"/>
      <c r="S39" s="122"/>
      <c r="T39" s="122"/>
      <c r="U39" s="122"/>
      <c r="V39" s="122"/>
      <c r="W39" s="121"/>
    </row>
    <row r="40" spans="1:23" x14ac:dyDescent="0.15">
      <c r="Q40" s="118"/>
      <c r="R40" s="119"/>
      <c r="S40" s="122"/>
      <c r="T40" s="122"/>
      <c r="U40" s="122"/>
      <c r="V40" s="122"/>
      <c r="W40" s="121"/>
    </row>
    <row r="41" spans="1:23" x14ac:dyDescent="0.15">
      <c r="L41" s="106"/>
    </row>
    <row r="42" spans="1:23" x14ac:dyDescent="0.15">
      <c r="L42" s="106"/>
    </row>
    <row r="43" spans="1:23" x14ac:dyDescent="0.15">
      <c r="L43" s="106"/>
    </row>
    <row r="44" spans="1:23" x14ac:dyDescent="0.15">
      <c r="B44" s="112" t="s">
        <v>610</v>
      </c>
      <c r="L44" s="106"/>
      <c r="R44" s="112" t="s">
        <v>610</v>
      </c>
    </row>
    <row r="45" spans="1:23" x14ac:dyDescent="0.15">
      <c r="L45" s="106"/>
    </row>
    <row r="46" spans="1:23" x14ac:dyDescent="0.15">
      <c r="A46" s="144" t="s">
        <v>611</v>
      </c>
      <c r="B46" s="80"/>
      <c r="Q46" s="144" t="s">
        <v>611</v>
      </c>
      <c r="R46" s="80"/>
    </row>
    <row r="47" spans="1:23" x14ac:dyDescent="0.15">
      <c r="A47" s="89" t="s">
        <v>475</v>
      </c>
      <c r="B47" s="115">
        <v>2023</v>
      </c>
      <c r="C47" s="80" t="s">
        <v>439</v>
      </c>
      <c r="D47" s="80" t="s">
        <v>440</v>
      </c>
      <c r="E47" s="80" t="s">
        <v>441</v>
      </c>
      <c r="F47" s="80" t="s">
        <v>440</v>
      </c>
      <c r="G47" s="80" t="s">
        <v>445</v>
      </c>
      <c r="I47" s="115">
        <v>2023</v>
      </c>
      <c r="J47" s="80" t="s">
        <v>439</v>
      </c>
      <c r="K47" s="80" t="s">
        <v>440</v>
      </c>
      <c r="L47" s="80" t="s">
        <v>441</v>
      </c>
      <c r="M47" s="80" t="s">
        <v>440</v>
      </c>
      <c r="N47" s="80" t="s">
        <v>445</v>
      </c>
      <c r="O47" s="124">
        <f>B49+J49+R49</f>
        <v>642846.61329000024</v>
      </c>
      <c r="Q47" s="115">
        <v>2023</v>
      </c>
      <c r="R47" s="80" t="s">
        <v>439</v>
      </c>
      <c r="S47" s="80" t="s">
        <v>440</v>
      </c>
      <c r="T47" s="80" t="s">
        <v>441</v>
      </c>
      <c r="U47" s="80" t="s">
        <v>440</v>
      </c>
      <c r="V47" s="80" t="s">
        <v>445</v>
      </c>
    </row>
    <row r="48" spans="1:23" ht="16.5" x14ac:dyDescent="0.15">
      <c r="A48" s="93" t="s">
        <v>464</v>
      </c>
      <c r="B48" s="92" t="s">
        <v>442</v>
      </c>
      <c r="C48" s="101" t="s">
        <v>446</v>
      </c>
      <c r="D48" s="101" t="s">
        <v>447</v>
      </c>
      <c r="E48" s="101" t="s">
        <v>448</v>
      </c>
      <c r="F48" s="101" t="s">
        <v>449</v>
      </c>
      <c r="G48" s="103" t="s">
        <v>109</v>
      </c>
      <c r="J48" s="94" t="s">
        <v>443</v>
      </c>
      <c r="K48" s="106" t="s">
        <v>450</v>
      </c>
      <c r="L48" s="106" t="s">
        <v>451</v>
      </c>
      <c r="M48" s="106" t="s">
        <v>452</v>
      </c>
      <c r="N48" s="102" t="s">
        <v>453</v>
      </c>
    </row>
    <row r="49" spans="1:23" ht="16.5" x14ac:dyDescent="0.15">
      <c r="A49" s="105" t="s">
        <v>465</v>
      </c>
      <c r="B49" s="104">
        <f>SUM(C49:F52)</f>
        <v>115663.3067503276</v>
      </c>
      <c r="C49" s="100">
        <f>C20*$D$17</f>
        <v>96517.377615747842</v>
      </c>
      <c r="D49" s="100">
        <f t="shared" ref="D49:F49" si="38">D20*$D$17</f>
        <v>809.93113968081116</v>
      </c>
      <c r="E49" s="100">
        <f t="shared" si="38"/>
        <v>9189.4488543037569</v>
      </c>
      <c r="F49" s="100">
        <f t="shared" si="38"/>
        <v>2019.4712392070303</v>
      </c>
      <c r="G49" s="108">
        <f>SUM(C49:F49)</f>
        <v>108536.22884893944</v>
      </c>
      <c r="I49" s="93" t="s">
        <v>454</v>
      </c>
      <c r="J49" s="107">
        <f>SUM(K49:N54)</f>
        <v>467580.2193120537</v>
      </c>
      <c r="K49" s="100">
        <f>K20*$D$17</f>
        <v>284868.28965074319</v>
      </c>
      <c r="L49" s="100">
        <f t="shared" ref="L49:N49" si="39">L20*$D$17</f>
        <v>6336.1846805092382</v>
      </c>
      <c r="M49" s="100">
        <f t="shared" si="39"/>
        <v>23934.235007310424</v>
      </c>
      <c r="N49" s="100">
        <f t="shared" si="39"/>
        <v>7023.1421048294769</v>
      </c>
      <c r="O49" s="108">
        <f>SUM(K49:N49)</f>
        <v>322161.85144339234</v>
      </c>
      <c r="Q49" s="93" t="s">
        <v>459</v>
      </c>
      <c r="R49" s="107">
        <f>SUM(S49:V53)</f>
        <v>59603.087227618846</v>
      </c>
      <c r="S49" s="100">
        <f>S20*$D$17</f>
        <v>15124.561020324145</v>
      </c>
      <c r="T49" s="100">
        <f t="shared" ref="T49:V49" si="40">T20*$D$17</f>
        <v>37.010369823361678</v>
      </c>
      <c r="U49" s="100">
        <f t="shared" si="40"/>
        <v>0</v>
      </c>
      <c r="V49" s="100">
        <f t="shared" si="40"/>
        <v>0</v>
      </c>
      <c r="W49" s="108">
        <f>SUM(S49:V49)</f>
        <v>15161.571390147506</v>
      </c>
    </row>
    <row r="50" spans="1:23" ht="16.5" x14ac:dyDescent="0.15">
      <c r="A50" s="93" t="s">
        <v>466</v>
      </c>
      <c r="B50" s="92" t="s">
        <v>497</v>
      </c>
      <c r="C50" s="100">
        <f t="shared" ref="C50:F50" si="41">C21*$D$17</f>
        <v>1517.7295821236648</v>
      </c>
      <c r="D50" s="100">
        <f t="shared" si="41"/>
        <v>0</v>
      </c>
      <c r="E50" s="100">
        <f t="shared" si="41"/>
        <v>0</v>
      </c>
      <c r="F50" s="100">
        <f t="shared" si="41"/>
        <v>0</v>
      </c>
      <c r="G50" s="108">
        <f t="shared" ref="G50:G52" si="42">SUM(C50:F50)</f>
        <v>1517.7295821236648</v>
      </c>
      <c r="I50" s="105" t="s">
        <v>482</v>
      </c>
      <c r="J50" s="92" t="s">
        <v>481</v>
      </c>
      <c r="K50" s="100">
        <f t="shared" ref="K50:N50" si="43">K21*$D$17</f>
        <v>9538.7115344147605</v>
      </c>
      <c r="L50" s="100">
        <f t="shared" si="43"/>
        <v>1.1474268404585399</v>
      </c>
      <c r="M50" s="100">
        <f t="shared" si="43"/>
        <v>0</v>
      </c>
      <c r="N50" s="100">
        <f t="shared" si="43"/>
        <v>0</v>
      </c>
      <c r="O50" s="108">
        <f t="shared" ref="O50:O52" si="44">SUM(K50:N50)</f>
        <v>9539.8589612552187</v>
      </c>
      <c r="Q50" s="93" t="s">
        <v>460</v>
      </c>
      <c r="R50" s="92" t="s">
        <v>490</v>
      </c>
      <c r="S50" s="100">
        <f t="shared" ref="S50:V50" si="45">S21*$D$17</f>
        <v>1605.8121547845792</v>
      </c>
      <c r="T50" s="100">
        <f t="shared" si="45"/>
        <v>0</v>
      </c>
      <c r="U50" s="100">
        <f t="shared" si="45"/>
        <v>60.005740381122621</v>
      </c>
      <c r="V50" s="100">
        <f t="shared" si="45"/>
        <v>1.8030993207205628</v>
      </c>
      <c r="W50" s="108">
        <f t="shared" ref="W50:W52" si="46">SUM(S50:V50)</f>
        <v>1667.6209944864224</v>
      </c>
    </row>
    <row r="51" spans="1:23" ht="16.5" x14ac:dyDescent="0.15">
      <c r="A51" s="93" t="s">
        <v>467</v>
      </c>
      <c r="B51" s="92" t="s">
        <v>468</v>
      </c>
      <c r="C51" s="100">
        <f t="shared" ref="C51:F51" si="47">C22*$D$17</f>
        <v>0</v>
      </c>
      <c r="D51" s="100">
        <f t="shared" si="47"/>
        <v>74.746662749870609</v>
      </c>
      <c r="E51" s="100">
        <f t="shared" si="47"/>
        <v>3868.6081347917052</v>
      </c>
      <c r="F51" s="100">
        <f t="shared" si="47"/>
        <v>1662.8673690045225</v>
      </c>
      <c r="G51" s="108">
        <f t="shared" si="42"/>
        <v>5606.2221665460984</v>
      </c>
      <c r="I51" s="93" t="s">
        <v>483</v>
      </c>
      <c r="J51" s="92" t="s">
        <v>484</v>
      </c>
      <c r="K51" s="100">
        <f t="shared" ref="K51:N51" si="48">K22*$D$17</f>
        <v>521.31816399404579</v>
      </c>
      <c r="L51" s="100">
        <f t="shared" si="48"/>
        <v>0</v>
      </c>
      <c r="M51" s="100">
        <f t="shared" si="48"/>
        <v>0</v>
      </c>
      <c r="N51" s="100">
        <f t="shared" si="48"/>
        <v>0</v>
      </c>
      <c r="O51" s="108">
        <f t="shared" si="44"/>
        <v>521.31816399404579</v>
      </c>
      <c r="Q51" s="93" t="s">
        <v>461</v>
      </c>
      <c r="R51" s="92" t="s">
        <v>492</v>
      </c>
      <c r="S51" s="100">
        <f t="shared" ref="S51:V51" si="49">S22*$D$17</f>
        <v>0</v>
      </c>
      <c r="T51" s="100">
        <f t="shared" si="49"/>
        <v>0</v>
      </c>
      <c r="U51" s="100">
        <f t="shared" si="49"/>
        <v>0</v>
      </c>
      <c r="V51" s="100">
        <f t="shared" si="49"/>
        <v>0</v>
      </c>
      <c r="W51" s="108">
        <f t="shared" si="46"/>
        <v>0</v>
      </c>
    </row>
    <row r="52" spans="1:23" ht="16.5" x14ac:dyDescent="0.15">
      <c r="A52" s="93" t="s">
        <v>470</v>
      </c>
      <c r="B52" s="92" t="s">
        <v>469</v>
      </c>
      <c r="C52" s="100">
        <f t="shared" ref="C52:F52" si="50">C23*$D$17</f>
        <v>0</v>
      </c>
      <c r="D52" s="100">
        <f t="shared" si="50"/>
        <v>3.1261527183921443</v>
      </c>
      <c r="E52" s="100">
        <f t="shared" si="50"/>
        <v>0</v>
      </c>
      <c r="F52" s="100">
        <f t="shared" si="50"/>
        <v>0</v>
      </c>
      <c r="G52" s="108">
        <f t="shared" si="42"/>
        <v>3.1261527183921443</v>
      </c>
      <c r="I52" s="93" t="s">
        <v>485</v>
      </c>
      <c r="J52" s="92" t="s">
        <v>480</v>
      </c>
      <c r="K52" s="100">
        <f t="shared" ref="K52:N52" si="51">K23*$D$17</f>
        <v>72245.026360490883</v>
      </c>
      <c r="L52" s="100">
        <f t="shared" si="51"/>
        <v>0</v>
      </c>
      <c r="M52" s="100">
        <f t="shared" si="51"/>
        <v>0</v>
      </c>
      <c r="N52" s="100">
        <f t="shared" si="51"/>
        <v>0</v>
      </c>
      <c r="O52" s="108">
        <f t="shared" si="44"/>
        <v>72245.026360490883</v>
      </c>
      <c r="Q52" s="93" t="s">
        <v>462</v>
      </c>
      <c r="R52" s="92" t="s">
        <v>491</v>
      </c>
      <c r="S52" s="100">
        <f t="shared" ref="S52:V52" si="52">S23*$D$17</f>
        <v>37326.263457602203</v>
      </c>
      <c r="T52" s="100">
        <f t="shared" si="52"/>
        <v>4524.3859909880557</v>
      </c>
      <c r="U52" s="100">
        <f t="shared" si="52"/>
        <v>822.64650242303549</v>
      </c>
      <c r="V52" s="100">
        <f t="shared" si="52"/>
        <v>72.885021243412353</v>
      </c>
      <c r="W52" s="108">
        <f t="shared" si="46"/>
        <v>42746.180972256705</v>
      </c>
    </row>
    <row r="53" spans="1:23" ht="16.5" x14ac:dyDescent="0.15">
      <c r="A53" s="118"/>
      <c r="B53" s="119"/>
      <c r="C53" s="122"/>
      <c r="D53" s="122"/>
      <c r="E53" s="122"/>
      <c r="F53" s="122"/>
      <c r="G53" s="121"/>
      <c r="I53" s="93" t="s">
        <v>487</v>
      </c>
      <c r="J53" s="92" t="s">
        <v>486</v>
      </c>
      <c r="K53" s="100">
        <f t="shared" ref="K53:N53" si="53">K24*$D$17</f>
        <v>51193.244660783785</v>
      </c>
      <c r="L53" s="100">
        <f t="shared" si="53"/>
        <v>0</v>
      </c>
      <c r="M53" s="100">
        <f t="shared" si="53"/>
        <v>0</v>
      </c>
      <c r="N53" s="100">
        <f t="shared" si="53"/>
        <v>0</v>
      </c>
      <c r="O53" s="108">
        <f t="shared" ref="O53:O54" si="54">SUM(K53:N53)</f>
        <v>51193.244660783785</v>
      </c>
      <c r="Q53" s="93" t="s">
        <v>494</v>
      </c>
      <c r="R53" s="92" t="s">
        <v>493</v>
      </c>
      <c r="S53" s="100">
        <f>S24*$D$17</f>
        <v>0.28100249154086693</v>
      </c>
      <c r="T53" s="100">
        <f>T24*$D$17</f>
        <v>0</v>
      </c>
      <c r="U53" s="100">
        <f>U24*$D$17</f>
        <v>8.8749953578323808</v>
      </c>
      <c r="V53" s="100">
        <f>V24*$D$17</f>
        <v>18.557872878844751</v>
      </c>
      <c r="W53" s="108">
        <f>SUM(S53:V53)</f>
        <v>27.713870728217998</v>
      </c>
    </row>
    <row r="54" spans="1:23" x14ac:dyDescent="0.15">
      <c r="A54" s="118"/>
      <c r="B54" s="119"/>
      <c r="C54" s="122"/>
      <c r="D54" s="122"/>
      <c r="E54" s="122"/>
      <c r="F54" s="122"/>
      <c r="G54" s="121"/>
      <c r="I54" s="93" t="s">
        <v>489</v>
      </c>
      <c r="J54" s="92" t="s">
        <v>488</v>
      </c>
      <c r="K54" s="100">
        <f t="shared" ref="K54:N54" si="55">K25*$D$17</f>
        <v>11918.91972213738</v>
      </c>
      <c r="L54" s="100">
        <f t="shared" si="55"/>
        <v>0</v>
      </c>
      <c r="M54" s="100">
        <f t="shared" si="55"/>
        <v>0</v>
      </c>
      <c r="N54" s="100">
        <f t="shared" si="55"/>
        <v>0</v>
      </c>
      <c r="O54" s="108">
        <f t="shared" si="54"/>
        <v>11918.91972213738</v>
      </c>
    </row>
    <row r="56" spans="1:23" x14ac:dyDescent="0.15">
      <c r="A56" s="89" t="s">
        <v>475</v>
      </c>
      <c r="B56" s="115">
        <v>2024</v>
      </c>
      <c r="C56" s="80" t="s">
        <v>439</v>
      </c>
      <c r="D56" s="80" t="s">
        <v>440</v>
      </c>
      <c r="E56" s="80" t="s">
        <v>441</v>
      </c>
      <c r="F56" s="80" t="s">
        <v>440</v>
      </c>
      <c r="G56" s="80" t="s">
        <v>445</v>
      </c>
      <c r="I56" s="115">
        <v>2024</v>
      </c>
      <c r="J56" s="80" t="s">
        <v>439</v>
      </c>
      <c r="K56" s="80" t="s">
        <v>440</v>
      </c>
      <c r="L56" s="80" t="s">
        <v>441</v>
      </c>
      <c r="M56" s="80" t="s">
        <v>440</v>
      </c>
      <c r="N56" s="80" t="s">
        <v>445</v>
      </c>
      <c r="O56" s="124">
        <f>B58+J58+R58</f>
        <v>712638.28527503856</v>
      </c>
      <c r="Q56" s="115">
        <v>2024</v>
      </c>
      <c r="R56" s="80" t="s">
        <v>439</v>
      </c>
      <c r="S56" s="80" t="s">
        <v>440</v>
      </c>
      <c r="T56" s="80" t="s">
        <v>441</v>
      </c>
      <c r="U56" s="80" t="s">
        <v>440</v>
      </c>
      <c r="V56" s="80" t="s">
        <v>445</v>
      </c>
    </row>
    <row r="57" spans="1:23" ht="16.5" x14ac:dyDescent="0.15">
      <c r="A57" s="93" t="s">
        <v>464</v>
      </c>
      <c r="B57" s="92" t="s">
        <v>442</v>
      </c>
      <c r="C57" s="101" t="s">
        <v>446</v>
      </c>
      <c r="D57" s="101" t="s">
        <v>447</v>
      </c>
      <c r="E57" s="101" t="s">
        <v>448</v>
      </c>
      <c r="F57" s="101" t="s">
        <v>449</v>
      </c>
      <c r="G57" s="103" t="s">
        <v>109</v>
      </c>
      <c r="J57" s="94" t="s">
        <v>443</v>
      </c>
      <c r="K57" s="106" t="s">
        <v>450</v>
      </c>
      <c r="L57" s="106" t="s">
        <v>451</v>
      </c>
      <c r="M57" s="106" t="s">
        <v>452</v>
      </c>
      <c r="N57" s="102" t="s">
        <v>453</v>
      </c>
    </row>
    <row r="58" spans="1:23" ht="16.5" x14ac:dyDescent="0.15">
      <c r="A58" s="105" t="s">
        <v>465</v>
      </c>
      <c r="B58" s="104">
        <f>SUM(C58:F61)</f>
        <v>128220.47886345524</v>
      </c>
      <c r="C58" s="100">
        <f>C20*$E$17</f>
        <v>106995.94127332067</v>
      </c>
      <c r="D58" s="100">
        <f t="shared" ref="D58:F58" si="56">D20*$E$17</f>
        <v>897.86261083187935</v>
      </c>
      <c r="E58" s="100">
        <f t="shared" si="56"/>
        <v>10187.116084563446</v>
      </c>
      <c r="F58" s="100">
        <f t="shared" si="56"/>
        <v>2238.7183681428633</v>
      </c>
      <c r="G58" s="108">
        <f>SUM(C58:F58)</f>
        <v>120319.63833685886</v>
      </c>
      <c r="I58" s="93" t="s">
        <v>454</v>
      </c>
      <c r="J58" s="107">
        <f>SUM(K58:N63)</f>
        <v>518343.81457454857</v>
      </c>
      <c r="K58" s="100">
        <f>K20*$E$17</f>
        <v>315795.47168642847</v>
      </c>
      <c r="L58" s="100">
        <f t="shared" ref="L58:N58" si="57">L20*$E$17</f>
        <v>7024.0827167072384</v>
      </c>
      <c r="M58" s="100">
        <f t="shared" si="57"/>
        <v>26532.693557623232</v>
      </c>
      <c r="N58" s="100">
        <f t="shared" si="57"/>
        <v>7785.6207738482281</v>
      </c>
      <c r="O58" s="108">
        <f>SUM(K58:N58)</f>
        <v>357137.86873460718</v>
      </c>
      <c r="Q58" s="93" t="s">
        <v>459</v>
      </c>
      <c r="R58" s="107">
        <f>SUM(S58:V63)</f>
        <v>66073.991837034671</v>
      </c>
      <c r="S58" s="100">
        <f>S20*$E$17</f>
        <v>16766.58320699463</v>
      </c>
      <c r="T58" s="100">
        <f t="shared" ref="T58:V58" si="58">T20*$E$17</f>
        <v>41.028459889260148</v>
      </c>
      <c r="U58" s="100">
        <f t="shared" si="58"/>
        <v>0</v>
      </c>
      <c r="V58" s="100">
        <f t="shared" si="58"/>
        <v>0</v>
      </c>
      <c r="W58" s="108">
        <f>SUM(S58:V58)</f>
        <v>16807.611666883891</v>
      </c>
    </row>
    <row r="59" spans="1:23" ht="16.5" x14ac:dyDescent="0.15">
      <c r="A59" s="93" t="s">
        <v>466</v>
      </c>
      <c r="B59" s="92" t="s">
        <v>497</v>
      </c>
      <c r="C59" s="100">
        <f t="shared" ref="C59:F59" si="59">C21*$E$17</f>
        <v>1682.5043246014316</v>
      </c>
      <c r="D59" s="100">
        <f t="shared" si="59"/>
        <v>0</v>
      </c>
      <c r="E59" s="100">
        <f t="shared" si="59"/>
        <v>0</v>
      </c>
      <c r="F59" s="100">
        <f t="shared" si="59"/>
        <v>0</v>
      </c>
      <c r="G59" s="108">
        <f t="shared" ref="G59:G61" si="60">SUM(C59:F59)</f>
        <v>1682.5043246014316</v>
      </c>
      <c r="I59" s="105" t="s">
        <v>482</v>
      </c>
      <c r="J59" s="92" t="s">
        <v>481</v>
      </c>
      <c r="K59" s="100">
        <f t="shared" ref="K59:N59" si="61">K21*$E$17</f>
        <v>10574.297026827486</v>
      </c>
      <c r="L59" s="100">
        <f t="shared" si="61"/>
        <v>1.2719990728084449</v>
      </c>
      <c r="M59" s="100">
        <f t="shared" si="61"/>
        <v>0</v>
      </c>
      <c r="N59" s="100">
        <f t="shared" si="61"/>
        <v>0</v>
      </c>
      <c r="O59" s="108">
        <f t="shared" ref="O59:O61" si="62">SUM(K59:N59)</f>
        <v>10575.569025900295</v>
      </c>
      <c r="Q59" s="93" t="s">
        <v>460</v>
      </c>
      <c r="R59" s="92" t="s">
        <v>490</v>
      </c>
      <c r="S59" s="100">
        <f t="shared" ref="S59:V59" si="63">S21*$E$17</f>
        <v>1780.1497228130431</v>
      </c>
      <c r="T59" s="100">
        <f t="shared" si="63"/>
        <v>0</v>
      </c>
      <c r="U59" s="100">
        <f t="shared" si="63"/>
        <v>66.520359674931427</v>
      </c>
      <c r="V59" s="100">
        <f t="shared" si="63"/>
        <v>1.9988556858418423</v>
      </c>
      <c r="W59" s="108">
        <f t="shared" ref="W59:W61" si="64">SUM(S59:V59)</f>
        <v>1848.6689381738163</v>
      </c>
    </row>
    <row r="60" spans="1:23" ht="16.5" x14ac:dyDescent="0.15">
      <c r="A60" s="93" t="s">
        <v>467</v>
      </c>
      <c r="B60" s="92" t="s">
        <v>468</v>
      </c>
      <c r="C60" s="100">
        <f t="shared" ref="C60:F60" si="65">C22*$E$17</f>
        <v>0</v>
      </c>
      <c r="D60" s="100">
        <f t="shared" si="65"/>
        <v>82.861653885807272</v>
      </c>
      <c r="E60" s="100">
        <f t="shared" si="65"/>
        <v>4288.6097718855499</v>
      </c>
      <c r="F60" s="100">
        <f t="shared" si="65"/>
        <v>1843.3992277293241</v>
      </c>
      <c r="G60" s="108">
        <f t="shared" si="60"/>
        <v>6214.8706535006804</v>
      </c>
      <c r="I60" s="93" t="s">
        <v>483</v>
      </c>
      <c r="J60" s="92" t="s">
        <v>484</v>
      </c>
      <c r="K60" s="100">
        <f t="shared" ref="K60:N60" si="66">K22*$E$17</f>
        <v>577.91590527342873</v>
      </c>
      <c r="L60" s="100">
        <f t="shared" si="66"/>
        <v>0</v>
      </c>
      <c r="M60" s="100">
        <f t="shared" si="66"/>
        <v>0</v>
      </c>
      <c r="N60" s="100">
        <f t="shared" si="66"/>
        <v>0</v>
      </c>
      <c r="O60" s="108">
        <f t="shared" si="62"/>
        <v>577.91590527342873</v>
      </c>
      <c r="Q60" s="93" t="s">
        <v>461</v>
      </c>
      <c r="R60" s="92" t="s">
        <v>492</v>
      </c>
      <c r="S60" s="100">
        <f t="shared" ref="S60:V60" si="67">S22*$E$17</f>
        <v>0</v>
      </c>
      <c r="T60" s="100">
        <f t="shared" si="67"/>
        <v>0</v>
      </c>
      <c r="U60" s="100">
        <f t="shared" si="67"/>
        <v>0</v>
      </c>
      <c r="V60" s="100">
        <f t="shared" si="67"/>
        <v>0</v>
      </c>
      <c r="W60" s="108">
        <f t="shared" si="64"/>
        <v>0</v>
      </c>
    </row>
    <row r="61" spans="1:23" ht="16.5" x14ac:dyDescent="0.15">
      <c r="A61" s="93" t="s">
        <v>470</v>
      </c>
      <c r="B61" s="92" t="s">
        <v>469</v>
      </c>
      <c r="C61" s="100">
        <f t="shared" ref="C61:F61" si="68">C23*$E$17</f>
        <v>0</v>
      </c>
      <c r="D61" s="100">
        <f t="shared" si="68"/>
        <v>3.4655484942842323</v>
      </c>
      <c r="E61" s="100">
        <f t="shared" si="68"/>
        <v>0</v>
      </c>
      <c r="F61" s="100">
        <f t="shared" si="68"/>
        <v>0</v>
      </c>
      <c r="G61" s="108">
        <f t="shared" si="60"/>
        <v>3.4655484942842323</v>
      </c>
      <c r="I61" s="93" t="s">
        <v>485</v>
      </c>
      <c r="J61" s="92" t="s">
        <v>480</v>
      </c>
      <c r="K61" s="100">
        <f t="shared" ref="K61:N61" si="69">K23*$E$17</f>
        <v>80088.423335854968</v>
      </c>
      <c r="L61" s="100">
        <f t="shared" si="69"/>
        <v>0</v>
      </c>
      <c r="M61" s="100">
        <f t="shared" si="69"/>
        <v>0</v>
      </c>
      <c r="N61" s="100">
        <f t="shared" si="69"/>
        <v>0</v>
      </c>
      <c r="O61" s="108">
        <f t="shared" si="62"/>
        <v>80088.423335854968</v>
      </c>
      <c r="Q61" s="93" t="s">
        <v>462</v>
      </c>
      <c r="R61" s="92" t="s">
        <v>491</v>
      </c>
      <c r="S61" s="100">
        <f t="shared" ref="S61:V61" si="70">S23*$E$17</f>
        <v>41378.649021753736</v>
      </c>
      <c r="T61" s="100">
        <f t="shared" si="70"/>
        <v>5015.5832011603279</v>
      </c>
      <c r="U61" s="100">
        <f t="shared" si="70"/>
        <v>911.95843729177705</v>
      </c>
      <c r="V61" s="100">
        <f t="shared" si="70"/>
        <v>80.797900288087448</v>
      </c>
      <c r="W61" s="108">
        <f t="shared" si="64"/>
        <v>47386.988560493926</v>
      </c>
    </row>
    <row r="62" spans="1:23" ht="16.5" x14ac:dyDescent="0.15">
      <c r="A62" s="118"/>
      <c r="B62" s="119"/>
      <c r="C62" s="122"/>
      <c r="D62" s="122"/>
      <c r="E62" s="122"/>
      <c r="F62" s="122"/>
      <c r="G62" s="121"/>
      <c r="I62" s="93" t="s">
        <v>487</v>
      </c>
      <c r="J62" s="92" t="s">
        <v>486</v>
      </c>
      <c r="K62" s="100">
        <f t="shared" ref="K62:N62" si="71">K24*$E$17</f>
        <v>56751.121244950307</v>
      </c>
      <c r="L62" s="100">
        <f t="shared" si="71"/>
        <v>0</v>
      </c>
      <c r="M62" s="100">
        <f t="shared" si="71"/>
        <v>0</v>
      </c>
      <c r="N62" s="100">
        <f t="shared" si="71"/>
        <v>0</v>
      </c>
      <c r="O62" s="108">
        <f t="shared" ref="O62:O63" si="72">SUM(K62:N62)</f>
        <v>56751.121244950307</v>
      </c>
      <c r="Q62" s="93" t="s">
        <v>494</v>
      </c>
      <c r="R62" s="92" t="s">
        <v>493</v>
      </c>
      <c r="S62" s="100">
        <f>S24*$E$17</f>
        <v>0.31150997701431304</v>
      </c>
      <c r="T62" s="100">
        <f>T24*$E$17</f>
        <v>0</v>
      </c>
      <c r="U62" s="100">
        <f>U24*$E$17</f>
        <v>9.838523440702053</v>
      </c>
      <c r="V62" s="100">
        <f>V24*$E$17</f>
        <v>20.572638065320259</v>
      </c>
      <c r="W62" s="108">
        <f t="shared" ref="W62" si="73">SUM(S62:V62)</f>
        <v>30.722671483036624</v>
      </c>
    </row>
    <row r="63" spans="1:23" x14ac:dyDescent="0.15">
      <c r="A63" s="118"/>
      <c r="B63" s="119"/>
      <c r="C63" s="122"/>
      <c r="D63" s="122"/>
      <c r="E63" s="122"/>
      <c r="F63" s="122"/>
      <c r="G63" s="121"/>
      <c r="I63" s="93" t="s">
        <v>489</v>
      </c>
      <c r="J63" s="92" t="s">
        <v>488</v>
      </c>
      <c r="K63" s="100">
        <f t="shared" ref="K63:N63" si="74">K25*$E$17</f>
        <v>13212.916327962474</v>
      </c>
      <c r="L63" s="100">
        <f t="shared" si="74"/>
        <v>0</v>
      </c>
      <c r="M63" s="100">
        <f t="shared" si="74"/>
        <v>0</v>
      </c>
      <c r="N63" s="100">
        <f t="shared" si="74"/>
        <v>0</v>
      </c>
      <c r="O63" s="108">
        <f t="shared" si="72"/>
        <v>13212.916327962474</v>
      </c>
      <c r="Q63" s="93"/>
      <c r="R63" s="92"/>
      <c r="S63" s="100"/>
      <c r="T63" s="100"/>
      <c r="U63" s="100"/>
      <c r="V63" s="100"/>
      <c r="W63" s="108"/>
    </row>
    <row r="65" spans="1:23" x14ac:dyDescent="0.15">
      <c r="A65" s="89" t="s">
        <v>475</v>
      </c>
      <c r="B65" s="115">
        <v>2025</v>
      </c>
      <c r="C65" s="80" t="s">
        <v>439</v>
      </c>
      <c r="D65" s="80" t="s">
        <v>440</v>
      </c>
      <c r="E65" s="80" t="s">
        <v>441</v>
      </c>
      <c r="F65" s="80" t="s">
        <v>440</v>
      </c>
      <c r="G65" s="80" t="s">
        <v>445</v>
      </c>
      <c r="I65" s="115">
        <v>2025</v>
      </c>
      <c r="J65" s="80" t="s">
        <v>439</v>
      </c>
      <c r="K65" s="80" t="s">
        <v>440</v>
      </c>
      <c r="L65" s="80" t="s">
        <v>441</v>
      </c>
      <c r="M65" s="80" t="s">
        <v>440</v>
      </c>
      <c r="N65" s="80" t="s">
        <v>445</v>
      </c>
      <c r="O65" s="124">
        <f>B67+J67+R67</f>
        <v>720669.44872318208</v>
      </c>
      <c r="Q65" s="115">
        <v>2025</v>
      </c>
      <c r="R65" s="80" t="s">
        <v>439</v>
      </c>
      <c r="S65" s="80" t="s">
        <v>440</v>
      </c>
      <c r="T65" s="80" t="s">
        <v>441</v>
      </c>
      <c r="U65" s="80" t="s">
        <v>440</v>
      </c>
      <c r="V65" s="80" t="s">
        <v>445</v>
      </c>
    </row>
    <row r="66" spans="1:23" ht="16.5" x14ac:dyDescent="0.15">
      <c r="A66" s="93" t="s">
        <v>464</v>
      </c>
      <c r="B66" s="92" t="s">
        <v>442</v>
      </c>
      <c r="C66" s="101" t="s">
        <v>446</v>
      </c>
      <c r="D66" s="101" t="s">
        <v>447</v>
      </c>
      <c r="E66" s="101" t="s">
        <v>448</v>
      </c>
      <c r="F66" s="101" t="s">
        <v>449</v>
      </c>
      <c r="G66" s="103" t="s">
        <v>109</v>
      </c>
      <c r="J66" s="94" t="s">
        <v>443</v>
      </c>
      <c r="K66" s="106" t="s">
        <v>450</v>
      </c>
      <c r="L66" s="106" t="s">
        <v>451</v>
      </c>
      <c r="M66" s="106" t="s">
        <v>452</v>
      </c>
      <c r="N66" s="102" t="s">
        <v>453</v>
      </c>
    </row>
    <row r="67" spans="1:23" ht="16.5" x14ac:dyDescent="0.15">
      <c r="A67" s="105" t="s">
        <v>465</v>
      </c>
      <c r="B67" s="104">
        <f>SUM(C67:F70)</f>
        <v>129665.47507602081</v>
      </c>
      <c r="C67" s="100">
        <f>C20*$F$17</f>
        <v>108201.74498946872</v>
      </c>
      <c r="D67" s="100">
        <f t="shared" ref="D67:F67" si="75">D20*$F$17</f>
        <v>907.98118224540474</v>
      </c>
      <c r="E67" s="100">
        <f t="shared" si="75"/>
        <v>10301.921022820117</v>
      </c>
      <c r="F67" s="100">
        <f t="shared" si="75"/>
        <v>2263.9478758754958</v>
      </c>
      <c r="G67" s="108">
        <f>SUM(C67:F67)</f>
        <v>121675.59507040973</v>
      </c>
      <c r="I67" s="93" t="s">
        <v>454</v>
      </c>
      <c r="J67" s="107">
        <f>SUM(K67:N72)</f>
        <v>524185.3529583246</v>
      </c>
      <c r="K67" s="100">
        <f>K20*$F$17</f>
        <v>319354.36699377006</v>
      </c>
      <c r="L67" s="100">
        <f t="shared" ref="L67:N67" si="76">L20*$F$17</f>
        <v>7103.2414674181755</v>
      </c>
      <c r="M67" s="100">
        <f t="shared" si="76"/>
        <v>26831.706960472533</v>
      </c>
      <c r="N67" s="100">
        <f t="shared" si="76"/>
        <v>7873.3617699075485</v>
      </c>
      <c r="O67" s="108">
        <f>SUM(K67:N67)</f>
        <v>361162.67719156825</v>
      </c>
      <c r="Q67" s="93" t="s">
        <v>459</v>
      </c>
      <c r="R67" s="107">
        <f>SUM(S67:V71)</f>
        <v>66818.620688836731</v>
      </c>
      <c r="S67" s="100">
        <f>S20*$F$17</f>
        <v>16955.536246684751</v>
      </c>
      <c r="T67" s="100">
        <f t="shared" ref="T67:V67" si="77">T20*$F$17</f>
        <v>41.490835086053117</v>
      </c>
      <c r="U67" s="100">
        <f t="shared" si="77"/>
        <v>0</v>
      </c>
      <c r="V67" s="100">
        <f t="shared" si="77"/>
        <v>0</v>
      </c>
      <c r="W67" s="108">
        <f>SUM(S67:V67)</f>
        <v>16997.027081770804</v>
      </c>
    </row>
    <row r="68" spans="1:23" ht="16.5" x14ac:dyDescent="0.15">
      <c r="A68" s="93" t="s">
        <v>466</v>
      </c>
      <c r="B68" s="92" t="s">
        <v>497</v>
      </c>
      <c r="C68" s="100">
        <f t="shared" ref="C68:F68" si="78">C21*$F$17</f>
        <v>1701.4655108193001</v>
      </c>
      <c r="D68" s="100">
        <f t="shared" si="78"/>
        <v>0</v>
      </c>
      <c r="E68" s="100">
        <f t="shared" si="78"/>
        <v>0</v>
      </c>
      <c r="F68" s="100">
        <f t="shared" si="78"/>
        <v>0</v>
      </c>
      <c r="G68" s="108">
        <f t="shared" ref="G68:G70" si="79">SUM(C68:F68)</f>
        <v>1701.4655108193001</v>
      </c>
      <c r="I68" s="105" t="s">
        <v>482</v>
      </c>
      <c r="J68" s="92" t="s">
        <v>481</v>
      </c>
      <c r="K68" s="100">
        <f t="shared" ref="K68:N68" si="80">K21*$F$17</f>
        <v>10693.465347596128</v>
      </c>
      <c r="L68" s="100">
        <f t="shared" si="80"/>
        <v>1.2863340203838043</v>
      </c>
      <c r="M68" s="100">
        <f t="shared" si="80"/>
        <v>0</v>
      </c>
      <c r="N68" s="100">
        <f t="shared" si="80"/>
        <v>0</v>
      </c>
      <c r="O68" s="108">
        <f t="shared" ref="O68:O70" si="81">SUM(K68:N68)</f>
        <v>10694.751681616512</v>
      </c>
      <c r="Q68" s="93" t="s">
        <v>460</v>
      </c>
      <c r="R68" s="92" t="s">
        <v>490</v>
      </c>
      <c r="S68" s="100">
        <f t="shared" ref="S68:V68" si="82">S21*$F$17</f>
        <v>1800.2113356697835</v>
      </c>
      <c r="T68" s="100">
        <f t="shared" si="82"/>
        <v>0</v>
      </c>
      <c r="U68" s="100">
        <f t="shared" si="82"/>
        <v>67.270018923132625</v>
      </c>
      <c r="V68" s="100">
        <f t="shared" si="82"/>
        <v>2.0213820320316929</v>
      </c>
      <c r="W68" s="108">
        <f t="shared" ref="W68:W70" si="83">SUM(S68:V68)</f>
        <v>1869.5027366249476</v>
      </c>
    </row>
    <row r="69" spans="1:23" ht="16.5" x14ac:dyDescent="0.15">
      <c r="A69" s="93" t="s">
        <v>467</v>
      </c>
      <c r="B69" s="92" t="s">
        <v>468</v>
      </c>
      <c r="C69" s="100">
        <f t="shared" ref="C69:F69" si="84">C22*$F$17</f>
        <v>0</v>
      </c>
      <c r="D69" s="100">
        <f t="shared" si="84"/>
        <v>83.79547332785927</v>
      </c>
      <c r="E69" s="100">
        <f t="shared" si="84"/>
        <v>4336.9407790107507</v>
      </c>
      <c r="F69" s="100">
        <f t="shared" si="84"/>
        <v>1864.1736385405006</v>
      </c>
      <c r="G69" s="108">
        <f t="shared" si="79"/>
        <v>6284.9098908791111</v>
      </c>
      <c r="I69" s="93" t="s">
        <v>483</v>
      </c>
      <c r="J69" s="92" t="s">
        <v>484</v>
      </c>
      <c r="K69" s="100">
        <f t="shared" ref="K69:N69" si="85">K22*$F$17</f>
        <v>584.42879854682542</v>
      </c>
      <c r="L69" s="100">
        <f t="shared" si="85"/>
        <v>0</v>
      </c>
      <c r="M69" s="100">
        <f t="shared" si="85"/>
        <v>0</v>
      </c>
      <c r="N69" s="100">
        <f t="shared" si="85"/>
        <v>0</v>
      </c>
      <c r="O69" s="108">
        <f t="shared" si="81"/>
        <v>584.42879854682542</v>
      </c>
      <c r="Q69" s="93" t="s">
        <v>461</v>
      </c>
      <c r="R69" s="92" t="s">
        <v>492</v>
      </c>
      <c r="S69" s="100">
        <f t="shared" ref="S69:V69" si="86">S22*$F$17</f>
        <v>0</v>
      </c>
      <c r="T69" s="100">
        <f t="shared" si="86"/>
        <v>0</v>
      </c>
      <c r="U69" s="100">
        <f t="shared" si="86"/>
        <v>0</v>
      </c>
      <c r="V69" s="100">
        <f t="shared" si="86"/>
        <v>0</v>
      </c>
      <c r="W69" s="108">
        <f t="shared" si="83"/>
        <v>0</v>
      </c>
    </row>
    <row r="70" spans="1:23" ht="16.5" x14ac:dyDescent="0.15">
      <c r="A70" s="93" t="s">
        <v>470</v>
      </c>
      <c r="B70" s="92" t="s">
        <v>469</v>
      </c>
      <c r="C70" s="100">
        <f t="shared" ref="C70:F70" si="87">C23*$F$17</f>
        <v>0</v>
      </c>
      <c r="D70" s="100">
        <f t="shared" si="87"/>
        <v>3.5046039126783239</v>
      </c>
      <c r="E70" s="100">
        <f t="shared" si="87"/>
        <v>0</v>
      </c>
      <c r="F70" s="100">
        <f t="shared" si="87"/>
        <v>0</v>
      </c>
      <c r="G70" s="108">
        <f t="shared" si="79"/>
        <v>3.5046039126783239</v>
      </c>
      <c r="I70" s="93" t="s">
        <v>485</v>
      </c>
      <c r="J70" s="92" t="s">
        <v>480</v>
      </c>
      <c r="K70" s="100">
        <f t="shared" ref="K70:N70" si="88">K23*$F$17</f>
        <v>80990.989520418196</v>
      </c>
      <c r="L70" s="100">
        <f t="shared" si="88"/>
        <v>0</v>
      </c>
      <c r="M70" s="100">
        <f t="shared" si="88"/>
        <v>0</v>
      </c>
      <c r="N70" s="100">
        <f t="shared" si="88"/>
        <v>0</v>
      </c>
      <c r="O70" s="108">
        <f t="shared" si="81"/>
        <v>80990.989520418196</v>
      </c>
      <c r="Q70" s="93" t="s">
        <v>462</v>
      </c>
      <c r="R70" s="92" t="s">
        <v>491</v>
      </c>
      <c r="S70" s="100">
        <f t="shared" ref="S70:V71" si="89">S23*$F$17</f>
        <v>41844.97071737919</v>
      </c>
      <c r="T70" s="100">
        <f t="shared" si="89"/>
        <v>5072.1069233747976</v>
      </c>
      <c r="U70" s="100">
        <f t="shared" si="89"/>
        <v>922.23586332843354</v>
      </c>
      <c r="V70" s="100">
        <f t="shared" si="89"/>
        <v>81.708462009073287</v>
      </c>
      <c r="W70" s="108">
        <f t="shared" si="83"/>
        <v>47921.021966091495</v>
      </c>
    </row>
    <row r="71" spans="1:23" ht="16.5" x14ac:dyDescent="0.15">
      <c r="I71" s="93" t="s">
        <v>487</v>
      </c>
      <c r="J71" s="92" t="s">
        <v>486</v>
      </c>
      <c r="K71" s="100">
        <f t="shared" ref="K71:N71" si="90">K24*$F$17</f>
        <v>57390.684877723295</v>
      </c>
      <c r="L71" s="100">
        <f t="shared" si="90"/>
        <v>0</v>
      </c>
      <c r="M71" s="100">
        <f t="shared" si="90"/>
        <v>0</v>
      </c>
      <c r="N71" s="100">
        <f t="shared" si="90"/>
        <v>0</v>
      </c>
      <c r="O71" s="108">
        <f t="shared" ref="O71:O72" si="91">SUM(K71:N71)</f>
        <v>57390.684877723295</v>
      </c>
      <c r="Q71" s="93" t="s">
        <v>494</v>
      </c>
      <c r="R71" s="92" t="s">
        <v>493</v>
      </c>
      <c r="S71" s="100">
        <f t="shared" si="89"/>
        <v>0.31502057642052356</v>
      </c>
      <c r="T71" s="100">
        <f t="shared" si="89"/>
        <v>0</v>
      </c>
      <c r="U71" s="100">
        <f t="shared" si="89"/>
        <v>9.9493998719482022</v>
      </c>
      <c r="V71" s="100">
        <f t="shared" si="89"/>
        <v>20.80448390110541</v>
      </c>
      <c r="W71" s="108">
        <f t="shared" ref="W71" si="92">SUM(S71:V71)</f>
        <v>31.068904349474138</v>
      </c>
    </row>
    <row r="72" spans="1:23" x14ac:dyDescent="0.15">
      <c r="I72" s="93" t="s">
        <v>489</v>
      </c>
      <c r="J72" s="92" t="s">
        <v>488</v>
      </c>
      <c r="K72" s="100">
        <f t="shared" ref="K72:N72" si="93">K25*$F$17</f>
        <v>13361.820888451472</v>
      </c>
      <c r="L72" s="100">
        <f t="shared" si="93"/>
        <v>0</v>
      </c>
      <c r="M72" s="100">
        <f t="shared" si="93"/>
        <v>0</v>
      </c>
      <c r="N72" s="100">
        <f t="shared" si="93"/>
        <v>0</v>
      </c>
      <c r="O72" s="108">
        <f t="shared" si="91"/>
        <v>13361.820888451472</v>
      </c>
    </row>
    <row r="150" spans="1:12" x14ac:dyDescent="0.15">
      <c r="B150" s="112" t="s">
        <v>610</v>
      </c>
      <c r="L150" s="106"/>
    </row>
    <row r="151" spans="1:12" x14ac:dyDescent="0.15">
      <c r="A151" s="144" t="s">
        <v>611</v>
      </c>
      <c r="B151" s="80"/>
      <c r="D151" s="89" t="s">
        <v>476</v>
      </c>
    </row>
    <row r="152" spans="1:12" x14ac:dyDescent="0.15">
      <c r="C152" s="80" t="s">
        <v>439</v>
      </c>
      <c r="D152" s="80" t="s">
        <v>440</v>
      </c>
      <c r="E152" s="80" t="s">
        <v>441</v>
      </c>
      <c r="F152" s="80" t="s">
        <v>440</v>
      </c>
      <c r="G152" s="80" t="s">
        <v>445</v>
      </c>
    </row>
    <row r="153" spans="1:12" x14ac:dyDescent="0.15">
      <c r="A153" s="93"/>
      <c r="B153" s="92" t="s">
        <v>442</v>
      </c>
      <c r="C153" s="101" t="s">
        <v>498</v>
      </c>
      <c r="D153" s="101" t="s">
        <v>507</v>
      </c>
      <c r="E153" s="101" t="s">
        <v>508</v>
      </c>
      <c r="F153" s="101" t="s">
        <v>509</v>
      </c>
      <c r="G153" s="103" t="s">
        <v>109</v>
      </c>
      <c r="H153" s="115">
        <v>2021</v>
      </c>
      <c r="L153" s="106"/>
    </row>
    <row r="154" spans="1:12" ht="16.5" x14ac:dyDescent="0.15">
      <c r="A154" s="105" t="s">
        <v>477</v>
      </c>
      <c r="B154" s="104">
        <f>SUM(C154:F161)</f>
        <v>67707.399999999994</v>
      </c>
      <c r="C154" s="100"/>
      <c r="D154" s="96">
        <f>147.84</f>
        <v>147.84</v>
      </c>
      <c r="E154" s="100">
        <v>385.44</v>
      </c>
      <c r="F154" s="100">
        <f>204.28</f>
        <v>204.28</v>
      </c>
      <c r="G154" s="108">
        <f>SUM(C154:F154)</f>
        <v>737.56</v>
      </c>
      <c r="L154" s="106"/>
    </row>
    <row r="155" spans="1:12" x14ac:dyDescent="0.15">
      <c r="A155" s="93" t="s">
        <v>511</v>
      </c>
      <c r="B155" s="92" t="s">
        <v>510</v>
      </c>
      <c r="C155" s="100">
        <v>5372.27</v>
      </c>
      <c r="D155" s="96">
        <v>19.73</v>
      </c>
      <c r="E155" s="96">
        <v>416.6</v>
      </c>
      <c r="F155" s="96">
        <v>274.48</v>
      </c>
      <c r="G155" s="108">
        <f t="shared" ref="G155:G161" si="94">SUM(C155:F155)</f>
        <v>6083.08</v>
      </c>
    </row>
    <row r="156" spans="1:12" x14ac:dyDescent="0.15">
      <c r="A156" s="93" t="s">
        <v>513</v>
      </c>
      <c r="B156" s="92" t="s">
        <v>512</v>
      </c>
      <c r="C156" s="96"/>
      <c r="D156" s="96"/>
      <c r="E156" s="108"/>
      <c r="F156" s="108"/>
      <c r="G156" s="108">
        <f t="shared" si="94"/>
        <v>0</v>
      </c>
    </row>
    <row r="157" spans="1:12" x14ac:dyDescent="0.15">
      <c r="A157" s="93" t="s">
        <v>478</v>
      </c>
      <c r="B157" s="92" t="s">
        <v>514</v>
      </c>
      <c r="C157" s="100">
        <v>13288.34</v>
      </c>
      <c r="D157" s="96">
        <v>41.11</v>
      </c>
      <c r="E157" s="100">
        <v>3107.3</v>
      </c>
      <c r="F157" s="96"/>
      <c r="G157" s="108">
        <f t="shared" si="94"/>
        <v>16436.75</v>
      </c>
    </row>
    <row r="158" spans="1:12" x14ac:dyDescent="0.15">
      <c r="A158" s="93" t="s">
        <v>479</v>
      </c>
      <c r="B158" s="92" t="s">
        <v>515</v>
      </c>
      <c r="C158" s="100">
        <v>4291.68</v>
      </c>
      <c r="D158" s="96">
        <v>71.069999999999993</v>
      </c>
      <c r="E158" s="100">
        <v>9721.92</v>
      </c>
      <c r="F158" s="96"/>
      <c r="G158" s="108">
        <f t="shared" si="94"/>
        <v>14084.67</v>
      </c>
      <c r="L158" s="106"/>
    </row>
    <row r="159" spans="1:12" x14ac:dyDescent="0.15">
      <c r="A159" s="93" t="s">
        <v>517</v>
      </c>
      <c r="B159" s="92" t="s">
        <v>516</v>
      </c>
      <c r="C159" s="100"/>
      <c r="D159" s="96"/>
      <c r="E159" s="96"/>
      <c r="F159" s="96"/>
      <c r="G159" s="108">
        <f t="shared" si="94"/>
        <v>0</v>
      </c>
      <c r="L159" s="106"/>
    </row>
    <row r="160" spans="1:12" x14ac:dyDescent="0.15">
      <c r="A160" s="93" t="s">
        <v>518</v>
      </c>
      <c r="B160" s="92" t="s">
        <v>469</v>
      </c>
      <c r="C160" s="108">
        <f>24178.01</f>
        <v>24178.01</v>
      </c>
      <c r="D160" s="96">
        <v>15.93</v>
      </c>
      <c r="E160" s="96"/>
      <c r="F160" s="96"/>
      <c r="G160" s="108">
        <f t="shared" si="94"/>
        <v>24193.94</v>
      </c>
    </row>
    <row r="161" spans="1:12" x14ac:dyDescent="0.15">
      <c r="A161" s="93" t="s">
        <v>661</v>
      </c>
      <c r="B161" s="92" t="s">
        <v>660</v>
      </c>
      <c r="C161" s="108">
        <v>3906.57</v>
      </c>
      <c r="D161" s="96">
        <v>806.26</v>
      </c>
      <c r="E161" s="100">
        <v>1222.6600000000001</v>
      </c>
      <c r="F161" s="96">
        <v>235.91</v>
      </c>
      <c r="G161" s="108">
        <f t="shared" si="94"/>
        <v>6171.4</v>
      </c>
    </row>
    <row r="162" spans="1:12" x14ac:dyDescent="0.15">
      <c r="A162" s="118"/>
      <c r="B162" s="119"/>
      <c r="C162" s="121"/>
      <c r="D162" s="120"/>
      <c r="E162" s="120"/>
      <c r="F162" s="120"/>
      <c r="G162" s="121"/>
    </row>
    <row r="163" spans="1:12" x14ac:dyDescent="0.15">
      <c r="A163" s="118" t="s">
        <v>519</v>
      </c>
      <c r="B163" s="119"/>
      <c r="C163" s="115">
        <v>2022</v>
      </c>
      <c r="D163" s="115">
        <v>2023</v>
      </c>
      <c r="E163" s="115">
        <v>2024</v>
      </c>
      <c r="F163" s="115">
        <v>2025</v>
      </c>
      <c r="G163" s="128" t="s">
        <v>109</v>
      </c>
    </row>
    <row r="164" spans="1:12" x14ac:dyDescent="0.15">
      <c r="A164" s="55" t="s">
        <v>472</v>
      </c>
      <c r="B164" s="92"/>
      <c r="C164" s="108">
        <f>'Tabela 01'!I136</f>
        <v>3732.9085102026675</v>
      </c>
      <c r="D164" s="108">
        <f>'Tabela 01'!J136</f>
        <v>3726.113705416667</v>
      </c>
      <c r="E164" s="108">
        <f>'Tabela 01'!K136</f>
        <v>4142.1111296512872</v>
      </c>
      <c r="F164" s="108">
        <f>'Tabela 01'!L136</f>
        <v>2867.0625864813023</v>
      </c>
      <c r="G164" s="108">
        <f>SUM(C164:F164)</f>
        <v>14468.195931751923</v>
      </c>
      <c r="L164" s="106"/>
    </row>
    <row r="165" spans="1:12" x14ac:dyDescent="0.15">
      <c r="A165" s="55" t="s">
        <v>502</v>
      </c>
      <c r="B165" s="92" t="s">
        <v>510</v>
      </c>
      <c r="C165" s="108">
        <f>'Tabela 01'!I137</f>
        <v>14071.554803506669</v>
      </c>
      <c r="D165" s="108">
        <f>'Tabela 01'!J137</f>
        <v>8979.1924352083352</v>
      </c>
      <c r="E165" s="108">
        <f>'Tabela 01'!K137</f>
        <v>10831.551443078717</v>
      </c>
      <c r="F165" s="108">
        <f>'Tabela 01'!L137</f>
        <v>10377.83343527077</v>
      </c>
      <c r="G165" s="108">
        <f t="shared" ref="G165:G171" si="95">SUM(C165:F165)</f>
        <v>44260.132117064488</v>
      </c>
      <c r="L165" s="106"/>
    </row>
    <row r="166" spans="1:12" x14ac:dyDescent="0.15">
      <c r="A166" s="55" t="s">
        <v>503</v>
      </c>
      <c r="B166" s="92" t="s">
        <v>512</v>
      </c>
      <c r="C166" s="108">
        <f>'Tabela 01'!I138</f>
        <v>13386.988093098667</v>
      </c>
      <c r="D166" s="108">
        <f>'Tabela 01'!J138</f>
        <v>13362.620506666666</v>
      </c>
      <c r="E166" s="108">
        <f>'Tabela 01'!K138</f>
        <v>18085.159452092495</v>
      </c>
      <c r="F166" s="108">
        <f>'Tabela 01'!L138</f>
        <v>18146.728805593906</v>
      </c>
      <c r="G166" s="108">
        <f t="shared" si="95"/>
        <v>62981.496857451733</v>
      </c>
    </row>
    <row r="167" spans="1:12" x14ac:dyDescent="0.15">
      <c r="A167" s="55" t="s">
        <v>473</v>
      </c>
      <c r="B167" s="92" t="s">
        <v>514</v>
      </c>
      <c r="C167" s="108">
        <f>'Tabela 01'!I139</f>
        <v>42715.823322293334</v>
      </c>
      <c r="D167" s="108">
        <f>'Tabela 01'!J139</f>
        <v>42548.057090000002</v>
      </c>
      <c r="E167" s="108">
        <f>'Tabela 01'!K139</f>
        <v>50310.261876383192</v>
      </c>
      <c r="F167" s="108">
        <f>'Tabela 01'!L139</f>
        <v>36227.035810739035</v>
      </c>
      <c r="G167" s="108">
        <f t="shared" si="95"/>
        <v>171801.17809941556</v>
      </c>
    </row>
    <row r="168" spans="1:12" x14ac:dyDescent="0.15">
      <c r="A168" s="55" t="s">
        <v>504</v>
      </c>
      <c r="B168" s="92" t="s">
        <v>515</v>
      </c>
      <c r="C168" s="108">
        <f>'Tabela 01'!I140</f>
        <v>15022.344846413334</v>
      </c>
      <c r="D168" s="108">
        <f>'Tabela 01'!J140</f>
        <v>4974.2627739583331</v>
      </c>
      <c r="E168" s="108">
        <f>'Tabela 01'!K140</f>
        <v>10273.70788404827</v>
      </c>
      <c r="F168" s="108">
        <f>'Tabela 01'!L140</f>
        <v>12140.17710434664</v>
      </c>
      <c r="G168" s="108">
        <f t="shared" si="95"/>
        <v>42410.492608766581</v>
      </c>
    </row>
    <row r="169" spans="1:12" x14ac:dyDescent="0.15">
      <c r="A169" s="93" t="s">
        <v>517</v>
      </c>
      <c r="B169" s="92" t="s">
        <v>516</v>
      </c>
      <c r="C169" s="108">
        <f>'Tabela 01'!I141</f>
        <v>0</v>
      </c>
      <c r="D169" s="108">
        <f>'Tabela 01'!J141</f>
        <v>0</v>
      </c>
      <c r="E169" s="108">
        <f>'Tabela 01'!K141</f>
        <v>0</v>
      </c>
      <c r="F169" s="108">
        <f>'Tabela 01'!L141</f>
        <v>0</v>
      </c>
      <c r="G169" s="108">
        <f t="shared" si="95"/>
        <v>0</v>
      </c>
      <c r="L169" s="106"/>
    </row>
    <row r="170" spans="1:12" x14ac:dyDescent="0.15">
      <c r="A170" s="93" t="s">
        <v>518</v>
      </c>
      <c r="B170" s="92" t="s">
        <v>469</v>
      </c>
      <c r="C170" s="108">
        <f>'Tabela 01'!I142</f>
        <v>0</v>
      </c>
      <c r="D170" s="108">
        <f>'Tabela 01'!J142</f>
        <v>0</v>
      </c>
      <c r="E170" s="108">
        <f>'Tabela 01'!K142</f>
        <v>0</v>
      </c>
      <c r="F170" s="108">
        <f>'Tabela 01'!L142</f>
        <v>0</v>
      </c>
      <c r="G170" s="108">
        <f t="shared" si="95"/>
        <v>0</v>
      </c>
      <c r="L170" s="106"/>
    </row>
    <row r="171" spans="1:12" x14ac:dyDescent="0.15">
      <c r="A171" s="118" t="s">
        <v>661</v>
      </c>
      <c r="B171" s="119" t="s">
        <v>660</v>
      </c>
      <c r="C171" s="108">
        <f>'Tabela 01'!I146</f>
        <v>16479.061357752005</v>
      </c>
      <c r="D171" s="108">
        <f>'Tabela 01'!J146</f>
        <v>13393.039935624998</v>
      </c>
      <c r="E171" s="108">
        <f>'Tabela 01'!K146</f>
        <v>9188.2343268919722</v>
      </c>
      <c r="F171" s="108">
        <f>'Tabela 01'!L146</f>
        <v>12839.145704467055</v>
      </c>
      <c r="G171" s="108">
        <f t="shared" si="95"/>
        <v>51899.481324736029</v>
      </c>
      <c r="L171" s="106"/>
    </row>
    <row r="172" spans="1:12" x14ac:dyDescent="0.15">
      <c r="A172" s="67"/>
      <c r="B172" s="119"/>
      <c r="C172" s="108">
        <f>SUM(C164:C171)</f>
        <v>105408.68093326667</v>
      </c>
      <c r="D172" s="108">
        <f t="shared" ref="D172:G172" si="96">SUM(D164:D171)</f>
        <v>86983.286446875005</v>
      </c>
      <c r="E172" s="108">
        <f t="shared" si="96"/>
        <v>102831.02611214592</v>
      </c>
      <c r="F172" s="108">
        <f t="shared" si="96"/>
        <v>92597.98344689871</v>
      </c>
      <c r="G172" s="108">
        <f t="shared" si="96"/>
        <v>387820.97693918634</v>
      </c>
    </row>
    <row r="173" spans="1:12" x14ac:dyDescent="0.15">
      <c r="C173" s="78"/>
      <c r="D173" s="78"/>
      <c r="E173" s="78"/>
      <c r="F173" s="78"/>
    </row>
    <row r="174" spans="1:12" x14ac:dyDescent="0.15">
      <c r="A174" s="77" t="s">
        <v>476</v>
      </c>
      <c r="C174" s="80" t="s">
        <v>439</v>
      </c>
      <c r="D174" s="80" t="s">
        <v>440</v>
      </c>
      <c r="E174" s="80" t="s">
        <v>441</v>
      </c>
      <c r="F174" s="80" t="s">
        <v>440</v>
      </c>
      <c r="G174" s="80" t="s">
        <v>445</v>
      </c>
    </row>
    <row r="175" spans="1:12" x14ac:dyDescent="0.15">
      <c r="A175" s="93"/>
      <c r="B175" s="92" t="s">
        <v>442</v>
      </c>
      <c r="C175" s="101" t="s">
        <v>446</v>
      </c>
      <c r="D175" s="101" t="s">
        <v>447</v>
      </c>
      <c r="E175" s="101" t="s">
        <v>448</v>
      </c>
      <c r="F175" s="101" t="s">
        <v>449</v>
      </c>
      <c r="G175" s="103" t="s">
        <v>109</v>
      </c>
      <c r="L175" s="106"/>
    </row>
    <row r="176" spans="1:12" ht="16.5" x14ac:dyDescent="0.15">
      <c r="A176" s="105" t="s">
        <v>477</v>
      </c>
      <c r="B176" s="114">
        <f>SUM(C176:F183)</f>
        <v>0.99999999999999989</v>
      </c>
      <c r="C176" s="117">
        <f t="shared" ref="C176:C183" si="97">C154/($B$154+$J$154+$R$154)</f>
        <v>0</v>
      </c>
      <c r="D176" s="117">
        <f t="shared" ref="D176:F176" si="98">D154/($B$154+$J$154+$R$154)</f>
        <v>2.1835131758123931E-3</v>
      </c>
      <c r="E176" s="117">
        <f t="shared" si="98"/>
        <v>5.6927307797965962E-3</v>
      </c>
      <c r="F176" s="117">
        <f t="shared" si="98"/>
        <v>3.0171000511022431E-3</v>
      </c>
      <c r="G176" s="108">
        <f>SUM(C176:F176)</f>
        <v>1.0893344006711232E-2</v>
      </c>
      <c r="L176" s="106"/>
    </row>
    <row r="177" spans="1:12" x14ac:dyDescent="0.15">
      <c r="A177" s="93" t="s">
        <v>511</v>
      </c>
      <c r="B177" s="92" t="s">
        <v>510</v>
      </c>
      <c r="C177" s="117">
        <f t="shared" si="97"/>
        <v>7.9345389130287103E-2</v>
      </c>
      <c r="D177" s="117">
        <f t="shared" ref="D177:F182" si="99">D155/($B$154+$J$154+$R$154)</f>
        <v>2.9140093992680271E-4</v>
      </c>
      <c r="E177" s="117">
        <f t="shared" si="99"/>
        <v>6.1529463544605176E-3</v>
      </c>
      <c r="F177" s="117">
        <f t="shared" si="99"/>
        <v>4.0539143431884851E-3</v>
      </c>
      <c r="G177" s="108">
        <f t="shared" ref="G177:G179" si="100">SUM(C177:F177)</f>
        <v>8.9843650767862909E-2</v>
      </c>
    </row>
    <row r="178" spans="1:12" x14ac:dyDescent="0.15">
      <c r="A178" s="93" t="s">
        <v>513</v>
      </c>
      <c r="B178" s="92" t="s">
        <v>512</v>
      </c>
      <c r="C178" s="117">
        <f t="shared" si="97"/>
        <v>0</v>
      </c>
      <c r="D178" s="117">
        <f t="shared" si="99"/>
        <v>0</v>
      </c>
      <c r="E178" s="117">
        <f t="shared" si="99"/>
        <v>0</v>
      </c>
      <c r="F178" s="117">
        <f t="shared" si="99"/>
        <v>0</v>
      </c>
      <c r="G178" s="108">
        <f t="shared" si="100"/>
        <v>0</v>
      </c>
    </row>
    <row r="179" spans="1:12" x14ac:dyDescent="0.15">
      <c r="A179" s="93" t="s">
        <v>478</v>
      </c>
      <c r="B179" s="92" t="s">
        <v>514</v>
      </c>
      <c r="C179" s="117">
        <f t="shared" si="97"/>
        <v>0.19626126538605826</v>
      </c>
      <c r="D179" s="117">
        <f t="shared" si="99"/>
        <v>6.0717144654794011E-4</v>
      </c>
      <c r="E179" s="117">
        <f t="shared" si="99"/>
        <v>4.5893063387458397E-2</v>
      </c>
      <c r="F179" s="117">
        <f t="shared" si="99"/>
        <v>0</v>
      </c>
      <c r="G179" s="108">
        <f t="shared" si="100"/>
        <v>0.2427615002200646</v>
      </c>
    </row>
    <row r="180" spans="1:12" x14ac:dyDescent="0.15">
      <c r="A180" s="93" t="s">
        <v>479</v>
      </c>
      <c r="B180" s="92" t="s">
        <v>515</v>
      </c>
      <c r="C180" s="117">
        <f t="shared" si="97"/>
        <v>6.3385686054995477E-2</v>
      </c>
      <c r="D180" s="117">
        <f t="shared" si="99"/>
        <v>1.0496636999796183E-3</v>
      </c>
      <c r="E180" s="117">
        <f t="shared" si="99"/>
        <v>0.14358725929514352</v>
      </c>
      <c r="F180" s="117">
        <f t="shared" si="99"/>
        <v>0</v>
      </c>
      <c r="G180" s="108">
        <f t="shared" ref="G180:G181" si="101">SUM(C180:F180)</f>
        <v>0.2080226090501186</v>
      </c>
      <c r="L180" s="106"/>
    </row>
    <row r="181" spans="1:12" x14ac:dyDescent="0.15">
      <c r="A181" s="93" t="s">
        <v>517</v>
      </c>
      <c r="B181" s="92" t="s">
        <v>516</v>
      </c>
      <c r="C181" s="117">
        <f t="shared" si="97"/>
        <v>0</v>
      </c>
      <c r="D181" s="117">
        <f t="shared" si="99"/>
        <v>0</v>
      </c>
      <c r="E181" s="117">
        <f t="shared" si="99"/>
        <v>0</v>
      </c>
      <c r="F181" s="117">
        <f t="shared" si="99"/>
        <v>0</v>
      </c>
      <c r="G181" s="108">
        <f t="shared" si="101"/>
        <v>0</v>
      </c>
      <c r="L181" s="106"/>
    </row>
    <row r="182" spans="1:12" x14ac:dyDescent="0.15">
      <c r="A182" s="93" t="s">
        <v>518</v>
      </c>
      <c r="B182" s="92" t="s">
        <v>469</v>
      </c>
      <c r="C182" s="117">
        <f t="shared" si="97"/>
        <v>0.35709553165532865</v>
      </c>
      <c r="D182" s="117">
        <f t="shared" si="99"/>
        <v>2.3527708935803179E-4</v>
      </c>
      <c r="E182" s="117">
        <f t="shared" si="99"/>
        <v>0</v>
      </c>
      <c r="F182" s="117">
        <f t="shared" si="99"/>
        <v>0</v>
      </c>
      <c r="G182" s="172">
        <f>SUM(C182:F182)</f>
        <v>0.3573308087446867</v>
      </c>
    </row>
    <row r="183" spans="1:12" x14ac:dyDescent="0.15">
      <c r="A183" s="118" t="s">
        <v>661</v>
      </c>
      <c r="B183" s="119" t="s">
        <v>660</v>
      </c>
      <c r="C183" s="117">
        <f t="shared" si="97"/>
        <v>5.7697829188537747E-2</v>
      </c>
      <c r="D183" s="117">
        <f t="shared" ref="D183:F183" si="102">D161/($B$154+$J$154+$R$154)</f>
        <v>1.190800414725717E-2</v>
      </c>
      <c r="E183" s="117">
        <f t="shared" si="102"/>
        <v>1.8057996614845646E-2</v>
      </c>
      <c r="F183" s="117">
        <f t="shared" si="102"/>
        <v>3.48425725991546E-3</v>
      </c>
      <c r="G183" s="172">
        <f>SUM(C183:F183)</f>
        <v>9.114808721055602E-2</v>
      </c>
    </row>
    <row r="184" spans="1:12" x14ac:dyDescent="0.15">
      <c r="A184" s="118"/>
      <c r="B184" s="119"/>
      <c r="C184" s="123"/>
      <c r="D184" s="123"/>
      <c r="E184" s="123"/>
      <c r="F184" s="123"/>
      <c r="G184" s="121"/>
    </row>
    <row r="185" spans="1:12" x14ac:dyDescent="0.15">
      <c r="A185" s="89"/>
      <c r="B185" s="115">
        <v>2022</v>
      </c>
      <c r="C185" s="80" t="s">
        <v>439</v>
      </c>
      <c r="D185" s="80" t="s">
        <v>440</v>
      </c>
      <c r="E185" s="80" t="s">
        <v>441</v>
      </c>
      <c r="F185" s="80" t="s">
        <v>440</v>
      </c>
      <c r="G185" s="80" t="s">
        <v>445</v>
      </c>
    </row>
    <row r="186" spans="1:12" x14ac:dyDescent="0.15">
      <c r="A186" s="93"/>
      <c r="B186" s="92" t="s">
        <v>442</v>
      </c>
      <c r="C186" s="101" t="s">
        <v>446</v>
      </c>
      <c r="D186" s="101" t="s">
        <v>447</v>
      </c>
      <c r="E186" s="101" t="s">
        <v>448</v>
      </c>
      <c r="F186" s="101" t="s">
        <v>449</v>
      </c>
      <c r="G186" s="103" t="s">
        <v>109</v>
      </c>
      <c r="H186" s="115">
        <v>2022</v>
      </c>
      <c r="L186" s="106"/>
    </row>
    <row r="187" spans="1:12" ht="16.5" x14ac:dyDescent="0.15">
      <c r="A187" s="105" t="s">
        <v>477</v>
      </c>
      <c r="B187" s="104">
        <f>SUM(C187:F194)</f>
        <v>105408.68093326667</v>
      </c>
      <c r="C187" s="100">
        <f>$C$172*C176</f>
        <v>0</v>
      </c>
      <c r="D187" s="100">
        <f t="shared" ref="D187:F187" si="103">$C$172*D176</f>
        <v>230.16124366279237</v>
      </c>
      <c r="E187" s="100">
        <f t="shared" si="103"/>
        <v>600.06324240656579</v>
      </c>
      <c r="F187" s="100">
        <f t="shared" si="103"/>
        <v>318.02853663037894</v>
      </c>
      <c r="G187" s="108">
        <f>SUM(C187:F187)</f>
        <v>1148.2530226997371</v>
      </c>
      <c r="L187" s="106"/>
    </row>
    <row r="188" spans="1:12" x14ac:dyDescent="0.15">
      <c r="A188" s="93" t="s">
        <v>511</v>
      </c>
      <c r="B188" s="92" t="s">
        <v>510</v>
      </c>
      <c r="C188" s="100">
        <f t="shared" ref="C188:F192" si="104">$C$172*C177</f>
        <v>8363.6928063603191</v>
      </c>
      <c r="D188" s="100">
        <f t="shared" si="104"/>
        <v>30.716188700398355</v>
      </c>
      <c r="E188" s="100">
        <f t="shared" si="104"/>
        <v>648.57395907683508</v>
      </c>
      <c r="F188" s="100">
        <f t="shared" si="104"/>
        <v>427.31776353194834</v>
      </c>
      <c r="G188" s="108">
        <f t="shared" ref="G188:G190" si="105">SUM(C188:F188)</f>
        <v>9470.300717669501</v>
      </c>
    </row>
    <row r="189" spans="1:12" x14ac:dyDescent="0.15">
      <c r="A189" s="93" t="s">
        <v>513</v>
      </c>
      <c r="B189" s="92" t="s">
        <v>512</v>
      </c>
      <c r="C189" s="100">
        <f t="shared" si="104"/>
        <v>0</v>
      </c>
      <c r="D189" s="100">
        <f t="shared" si="104"/>
        <v>0</v>
      </c>
      <c r="E189" s="100">
        <f t="shared" si="104"/>
        <v>0</v>
      </c>
      <c r="F189" s="100">
        <f t="shared" si="104"/>
        <v>0</v>
      </c>
      <c r="G189" s="108">
        <f t="shared" si="105"/>
        <v>0</v>
      </c>
    </row>
    <row r="190" spans="1:12" x14ac:dyDescent="0.15">
      <c r="A190" s="93" t="s">
        <v>478</v>
      </c>
      <c r="B190" s="92" t="s">
        <v>514</v>
      </c>
      <c r="C190" s="100">
        <f t="shared" si="104"/>
        <v>20687.64110263819</v>
      </c>
      <c r="D190" s="100">
        <f t="shared" si="104"/>
        <v>64.001141280961804</v>
      </c>
      <c r="E190" s="100">
        <f t="shared" si="104"/>
        <v>4837.5272756587847</v>
      </c>
      <c r="F190" s="100">
        <f t="shared" si="104"/>
        <v>0</v>
      </c>
      <c r="G190" s="108">
        <f t="shared" si="105"/>
        <v>25589.169519577936</v>
      </c>
    </row>
    <row r="191" spans="1:12" x14ac:dyDescent="0.15">
      <c r="A191" s="93" t="s">
        <v>479</v>
      </c>
      <c r="B191" s="92" t="s">
        <v>515</v>
      </c>
      <c r="C191" s="100">
        <f t="shared" si="104"/>
        <v>6681.4015571072287</v>
      </c>
      <c r="D191" s="100">
        <f t="shared" si="104"/>
        <v>110.64366603838374</v>
      </c>
      <c r="E191" s="100">
        <f t="shared" si="104"/>
        <v>15135.343601124012</v>
      </c>
      <c r="F191" s="100">
        <f t="shared" si="104"/>
        <v>0</v>
      </c>
      <c r="G191" s="108">
        <f t="shared" ref="G191:G193" si="106">SUM(C191:F191)</f>
        <v>21927.388824269623</v>
      </c>
      <c r="L191" s="106"/>
    </row>
    <row r="192" spans="1:12" x14ac:dyDescent="0.15">
      <c r="A192" s="93" t="s">
        <v>517</v>
      </c>
      <c r="B192" s="92" t="s">
        <v>516</v>
      </c>
      <c r="C192" s="100">
        <f t="shared" si="104"/>
        <v>0</v>
      </c>
      <c r="D192" s="100">
        <f t="shared" si="104"/>
        <v>0</v>
      </c>
      <c r="E192" s="100">
        <f t="shared" si="104"/>
        <v>0</v>
      </c>
      <c r="F192" s="100">
        <f t="shared" si="104"/>
        <v>0</v>
      </c>
      <c r="G192" s="108">
        <f t="shared" si="106"/>
        <v>0</v>
      </c>
      <c r="L192" s="106"/>
    </row>
    <row r="193" spans="1:12" x14ac:dyDescent="0.15">
      <c r="A193" s="93" t="s">
        <v>518</v>
      </c>
      <c r="B193" s="92" t="s">
        <v>469</v>
      </c>
      <c r="C193" s="100">
        <f t="shared" ref="C193:F194" si="107">$C$172*C182</f>
        <v>37640.968958951766</v>
      </c>
      <c r="D193" s="100">
        <f t="shared" si="107"/>
        <v>24.800247643048444</v>
      </c>
      <c r="E193" s="100">
        <f t="shared" si="107"/>
        <v>0</v>
      </c>
      <c r="F193" s="100">
        <f t="shared" si="107"/>
        <v>0</v>
      </c>
      <c r="G193" s="108">
        <f t="shared" si="106"/>
        <v>37665.769206594814</v>
      </c>
    </row>
    <row r="194" spans="1:12" x14ac:dyDescent="0.15">
      <c r="A194" s="118" t="s">
        <v>661</v>
      </c>
      <c r="B194" s="119" t="s">
        <v>660</v>
      </c>
      <c r="C194" s="100">
        <f t="shared" si="107"/>
        <v>6081.852067476696</v>
      </c>
      <c r="D194" s="100">
        <f t="shared" si="107"/>
        <v>1255.2070097102473</v>
      </c>
      <c r="E194" s="100">
        <f t="shared" si="107"/>
        <v>1903.4696034682745</v>
      </c>
      <c r="F194" s="100">
        <f t="shared" si="107"/>
        <v>367.27096179984676</v>
      </c>
      <c r="G194" s="108">
        <f>SUM(C194:F194)</f>
        <v>9607.7996424550638</v>
      </c>
    </row>
    <row r="196" spans="1:12" x14ac:dyDescent="0.15">
      <c r="A196" s="89"/>
      <c r="B196" s="115">
        <v>2023</v>
      </c>
      <c r="C196" s="80" t="s">
        <v>439</v>
      </c>
      <c r="D196" s="80" t="s">
        <v>440</v>
      </c>
      <c r="E196" s="80" t="s">
        <v>441</v>
      </c>
      <c r="F196" s="80" t="s">
        <v>440</v>
      </c>
      <c r="G196" s="80" t="s">
        <v>445</v>
      </c>
      <c r="L196" s="106"/>
    </row>
    <row r="197" spans="1:12" x14ac:dyDescent="0.15">
      <c r="A197" s="93"/>
      <c r="B197" s="92" t="s">
        <v>442</v>
      </c>
      <c r="C197" s="101" t="s">
        <v>446</v>
      </c>
      <c r="D197" s="101" t="s">
        <v>447</v>
      </c>
      <c r="E197" s="101" t="s">
        <v>448</v>
      </c>
      <c r="F197" s="101" t="s">
        <v>449</v>
      </c>
      <c r="G197" s="103" t="s">
        <v>109</v>
      </c>
      <c r="H197" s="115">
        <v>2023</v>
      </c>
      <c r="L197" s="106"/>
    </row>
    <row r="198" spans="1:12" ht="16.5" x14ac:dyDescent="0.15">
      <c r="A198" s="105" t="s">
        <v>477</v>
      </c>
      <c r="B198" s="104">
        <f>SUM(C198:F205)</f>
        <v>86983.286446875005</v>
      </c>
      <c r="C198" s="100">
        <f t="shared" ref="C198:C205" si="108">C176*$D$172</f>
        <v>0</v>
      </c>
      <c r="D198" s="100">
        <f t="shared" ref="D198:F198" si="109">D176*$D$172</f>
        <v>189.92915203221514</v>
      </c>
      <c r="E198" s="100">
        <f t="shared" si="109"/>
        <v>495.17243208398946</v>
      </c>
      <c r="F198" s="100">
        <f t="shared" si="109"/>
        <v>262.43727798390762</v>
      </c>
      <c r="G198" s="108">
        <f>SUM(C198:F198)</f>
        <v>947.53886210011217</v>
      </c>
    </row>
    <row r="199" spans="1:12" x14ac:dyDescent="0.15">
      <c r="A199" s="93" t="s">
        <v>511</v>
      </c>
      <c r="B199" s="92" t="s">
        <v>510</v>
      </c>
      <c r="C199" s="100">
        <f t="shared" si="108"/>
        <v>6901.7227109585256</v>
      </c>
      <c r="D199" s="100">
        <f t="shared" ref="D199:F205" si="110">D177*$D$172</f>
        <v>25.347011428541695</v>
      </c>
      <c r="E199" s="100">
        <f t="shared" si="110"/>
        <v>535.20349524229448</v>
      </c>
      <c r="F199" s="100">
        <f t="shared" si="110"/>
        <v>352.62279254465915</v>
      </c>
      <c r="G199" s="108">
        <f t="shared" ref="G199:G204" si="111">SUM(C199:F199)</f>
        <v>7814.8960101740213</v>
      </c>
    </row>
    <row r="200" spans="1:12" x14ac:dyDescent="0.15">
      <c r="A200" s="93" t="s">
        <v>513</v>
      </c>
      <c r="B200" s="92" t="s">
        <v>512</v>
      </c>
      <c r="C200" s="100">
        <f t="shared" si="108"/>
        <v>0</v>
      </c>
      <c r="D200" s="100">
        <f t="shared" si="110"/>
        <v>0</v>
      </c>
      <c r="E200" s="100">
        <f t="shared" si="110"/>
        <v>0</v>
      </c>
      <c r="F200" s="100">
        <f t="shared" si="110"/>
        <v>0</v>
      </c>
      <c r="G200" s="108">
        <f t="shared" si="111"/>
        <v>0</v>
      </c>
    </row>
    <row r="201" spans="1:12" x14ac:dyDescent="0.15">
      <c r="A201" s="93" t="s">
        <v>478</v>
      </c>
      <c r="B201" s="92" t="s">
        <v>514</v>
      </c>
      <c r="C201" s="100">
        <f t="shared" si="108"/>
        <v>17071.449865501661</v>
      </c>
      <c r="D201" s="100">
        <f t="shared" si="110"/>
        <v>52.813767857442933</v>
      </c>
      <c r="E201" s="100">
        <f t="shared" si="110"/>
        <v>3991.9294785558855</v>
      </c>
      <c r="F201" s="100">
        <f t="shared" si="110"/>
        <v>0</v>
      </c>
      <c r="G201" s="108">
        <f t="shared" si="111"/>
        <v>21116.193111914989</v>
      </c>
      <c r="L201" s="106"/>
    </row>
    <row r="202" spans="1:12" x14ac:dyDescent="0.15">
      <c r="A202" s="93" t="s">
        <v>479</v>
      </c>
      <c r="B202" s="92" t="s">
        <v>515</v>
      </c>
      <c r="C202" s="100">
        <f t="shared" si="108"/>
        <v>5513.4952867533621</v>
      </c>
      <c r="D202" s="100">
        <f t="shared" si="110"/>
        <v>91.303198288213807</v>
      </c>
      <c r="E202" s="100">
        <f t="shared" si="110"/>
        <v>12489.691705391184</v>
      </c>
      <c r="F202" s="100">
        <f t="shared" si="110"/>
        <v>0</v>
      </c>
      <c r="G202" s="108">
        <f t="shared" si="111"/>
        <v>18094.49019043276</v>
      </c>
      <c r="L202" s="106"/>
    </row>
    <row r="203" spans="1:12" x14ac:dyDescent="0.15">
      <c r="A203" s="93" t="s">
        <v>517</v>
      </c>
      <c r="B203" s="92" t="s">
        <v>516</v>
      </c>
      <c r="C203" s="100">
        <f t="shared" si="108"/>
        <v>0</v>
      </c>
      <c r="D203" s="100">
        <f t="shared" si="110"/>
        <v>0</v>
      </c>
      <c r="E203" s="100">
        <f t="shared" si="110"/>
        <v>0</v>
      </c>
      <c r="F203" s="100">
        <f t="shared" si="110"/>
        <v>0</v>
      </c>
      <c r="G203" s="108">
        <f t="shared" si="111"/>
        <v>0</v>
      </c>
    </row>
    <row r="204" spans="1:12" x14ac:dyDescent="0.15">
      <c r="A204" s="93" t="s">
        <v>518</v>
      </c>
      <c r="B204" s="92" t="s">
        <v>469</v>
      </c>
      <c r="C204" s="100">
        <f t="shared" si="108"/>
        <v>31061.342918874572</v>
      </c>
      <c r="D204" s="100">
        <f t="shared" si="110"/>
        <v>20.465174458016687</v>
      </c>
      <c r="E204" s="100">
        <f t="shared" si="110"/>
        <v>0</v>
      </c>
      <c r="F204" s="100">
        <f t="shared" si="110"/>
        <v>0</v>
      </c>
      <c r="G204" s="108">
        <f t="shared" si="111"/>
        <v>31081.808093332587</v>
      </c>
    </row>
    <row r="205" spans="1:12" x14ac:dyDescent="0.15">
      <c r="A205" s="118" t="s">
        <v>661</v>
      </c>
      <c r="B205" s="119" t="s">
        <v>660</v>
      </c>
      <c r="C205" s="100">
        <f t="shared" si="108"/>
        <v>5018.7468036694445</v>
      </c>
      <c r="D205" s="100">
        <f t="shared" si="110"/>
        <v>1035.7973357514459</v>
      </c>
      <c r="E205" s="100">
        <f t="shared" si="110"/>
        <v>1570.7438922058179</v>
      </c>
      <c r="F205" s="100">
        <f t="shared" si="110"/>
        <v>303.07214729383026</v>
      </c>
      <c r="G205" s="108">
        <f t="shared" ref="G205" si="112">SUM(C205:F205)</f>
        <v>7928.3601789205386</v>
      </c>
    </row>
    <row r="206" spans="1:12" x14ac:dyDescent="0.15">
      <c r="L206" s="106"/>
    </row>
    <row r="207" spans="1:12" x14ac:dyDescent="0.15">
      <c r="A207" s="89"/>
      <c r="B207" s="115">
        <v>2024</v>
      </c>
      <c r="C207" s="80" t="s">
        <v>439</v>
      </c>
      <c r="D207" s="80" t="s">
        <v>440</v>
      </c>
      <c r="E207" s="80" t="s">
        <v>441</v>
      </c>
      <c r="F207" s="80" t="s">
        <v>440</v>
      </c>
      <c r="G207" s="80" t="s">
        <v>445</v>
      </c>
      <c r="L207" s="106"/>
    </row>
    <row r="208" spans="1:12" x14ac:dyDescent="0.15">
      <c r="A208" s="93"/>
      <c r="B208" s="92" t="s">
        <v>442</v>
      </c>
      <c r="C208" s="101" t="s">
        <v>446</v>
      </c>
      <c r="D208" s="101" t="s">
        <v>447</v>
      </c>
      <c r="E208" s="101" t="s">
        <v>448</v>
      </c>
      <c r="F208" s="101" t="s">
        <v>449</v>
      </c>
      <c r="G208" s="103" t="s">
        <v>109</v>
      </c>
      <c r="H208" s="115">
        <v>2024</v>
      </c>
    </row>
    <row r="209" spans="1:12" ht="16.5" x14ac:dyDescent="0.15">
      <c r="A209" s="105" t="s">
        <v>477</v>
      </c>
      <c r="B209" s="104">
        <f>SUM(C209:F216)</f>
        <v>102831.02611214593</v>
      </c>
      <c r="C209" s="100">
        <f>C176*$E$172</f>
        <v>0</v>
      </c>
      <c r="D209" s="100">
        <f t="shared" ref="D209:F209" si="113">D176*$E$172</f>
        <v>224.53290039817887</v>
      </c>
      <c r="E209" s="100">
        <f t="shared" si="113"/>
        <v>585.38934746668053</v>
      </c>
      <c r="F209" s="100">
        <f t="shared" si="113"/>
        <v>310.25149413785152</v>
      </c>
      <c r="G209" s="108">
        <f>SUM(C209:F209)</f>
        <v>1120.1737420027109</v>
      </c>
    </row>
    <row r="210" spans="1:12" x14ac:dyDescent="0.15">
      <c r="A210" s="93" t="s">
        <v>511</v>
      </c>
      <c r="B210" s="92" t="s">
        <v>510</v>
      </c>
      <c r="C210" s="100">
        <f t="shared" ref="C210:F216" si="114">C177*$E$172</f>
        <v>8159.1677815349321</v>
      </c>
      <c r="D210" s="100">
        <f t="shared" si="114"/>
        <v>29.965057662716912</v>
      </c>
      <c r="E210" s="100">
        <f t="shared" si="114"/>
        <v>632.71378724216254</v>
      </c>
      <c r="F210" s="100">
        <f t="shared" si="114"/>
        <v>416.86817168081797</v>
      </c>
      <c r="G210" s="108">
        <f t="shared" ref="G210:G215" si="115">SUM(C210:F210)</f>
        <v>9238.7147981206308</v>
      </c>
    </row>
    <row r="211" spans="1:12" x14ac:dyDescent="0.15">
      <c r="A211" s="93" t="s">
        <v>513</v>
      </c>
      <c r="B211" s="92" t="s">
        <v>512</v>
      </c>
      <c r="C211" s="100">
        <f t="shared" si="114"/>
        <v>0</v>
      </c>
      <c r="D211" s="100">
        <f t="shared" si="114"/>
        <v>0</v>
      </c>
      <c r="E211" s="100">
        <f t="shared" si="114"/>
        <v>0</v>
      </c>
      <c r="F211" s="100">
        <f t="shared" si="114"/>
        <v>0</v>
      </c>
      <c r="G211" s="108">
        <f t="shared" si="115"/>
        <v>0</v>
      </c>
      <c r="L211" s="106"/>
    </row>
    <row r="212" spans="1:12" x14ac:dyDescent="0.15">
      <c r="A212" s="93" t="s">
        <v>478</v>
      </c>
      <c r="B212" s="92" t="s">
        <v>514</v>
      </c>
      <c r="C212" s="100">
        <f t="shared" si="114"/>
        <v>20181.747305716555</v>
      </c>
      <c r="D212" s="100">
        <f t="shared" si="114"/>
        <v>62.436062874520637</v>
      </c>
      <c r="E212" s="100">
        <f t="shared" si="114"/>
        <v>4719.2307995621022</v>
      </c>
      <c r="F212" s="100">
        <f t="shared" si="114"/>
        <v>0</v>
      </c>
      <c r="G212" s="108">
        <f t="shared" si="115"/>
        <v>24963.414168153176</v>
      </c>
      <c r="L212" s="106"/>
    </row>
    <row r="213" spans="1:12" x14ac:dyDescent="0.15">
      <c r="A213" s="93" t="s">
        <v>479</v>
      </c>
      <c r="B213" s="92" t="s">
        <v>515</v>
      </c>
      <c r="C213" s="100">
        <f t="shared" si="114"/>
        <v>6518.0151378575238</v>
      </c>
      <c r="D213" s="100">
        <f t="shared" si="114"/>
        <v>107.93799534157583</v>
      </c>
      <c r="E213" s="100">
        <f t="shared" si="114"/>
        <v>14765.225209950369</v>
      </c>
      <c r="F213" s="100">
        <f t="shared" si="114"/>
        <v>0</v>
      </c>
      <c r="G213" s="108">
        <f t="shared" si="115"/>
        <v>21391.17834314947</v>
      </c>
    </row>
    <row r="214" spans="1:12" x14ac:dyDescent="0.15">
      <c r="A214" s="93" t="s">
        <v>517</v>
      </c>
      <c r="B214" s="92" t="s">
        <v>516</v>
      </c>
      <c r="C214" s="100">
        <f t="shared" si="114"/>
        <v>0</v>
      </c>
      <c r="D214" s="100">
        <f t="shared" si="114"/>
        <v>0</v>
      </c>
      <c r="E214" s="100">
        <f t="shared" si="114"/>
        <v>0</v>
      </c>
      <c r="F214" s="100">
        <f t="shared" si="114"/>
        <v>0</v>
      </c>
      <c r="G214" s="108">
        <f t="shared" si="115"/>
        <v>0</v>
      </c>
    </row>
    <row r="215" spans="1:12" x14ac:dyDescent="0.15">
      <c r="A215" s="93" t="s">
        <v>518</v>
      </c>
      <c r="B215" s="92" t="s">
        <v>469</v>
      </c>
      <c r="C215" s="100">
        <f t="shared" si="114"/>
        <v>36720.499940179732</v>
      </c>
      <c r="D215" s="100">
        <f t="shared" si="114"/>
        <v>24.193784519365455</v>
      </c>
      <c r="E215" s="100">
        <f t="shared" si="114"/>
        <v>0</v>
      </c>
      <c r="F215" s="100">
        <f t="shared" si="114"/>
        <v>0</v>
      </c>
      <c r="G215" s="108">
        <f t="shared" si="115"/>
        <v>36744.6937246991</v>
      </c>
    </row>
    <row r="216" spans="1:12" x14ac:dyDescent="0.15">
      <c r="A216" s="118" t="s">
        <v>661</v>
      </c>
      <c r="B216" s="119" t="s">
        <v>660</v>
      </c>
      <c r="C216" s="100">
        <f t="shared" si="114"/>
        <v>5933.1269799006604</v>
      </c>
      <c r="D216" s="100">
        <f t="shared" si="114"/>
        <v>1224.5122854101439</v>
      </c>
      <c r="E216" s="100">
        <f t="shared" si="114"/>
        <v>1856.9223214342353</v>
      </c>
      <c r="F216" s="100">
        <f t="shared" si="114"/>
        <v>358.28974927580066</v>
      </c>
      <c r="G216" s="108">
        <f t="shared" ref="G216" si="116">SUM(C216:F216)</f>
        <v>9372.8513360208399</v>
      </c>
    </row>
    <row r="217" spans="1:12" x14ac:dyDescent="0.15">
      <c r="L217" s="106"/>
    </row>
    <row r="218" spans="1:12" x14ac:dyDescent="0.15">
      <c r="A218" s="89"/>
      <c r="B218" s="115">
        <v>2025</v>
      </c>
      <c r="C218" s="80" t="s">
        <v>439</v>
      </c>
      <c r="D218" s="80" t="s">
        <v>440</v>
      </c>
      <c r="E218" s="80" t="s">
        <v>441</v>
      </c>
      <c r="F218" s="80" t="s">
        <v>440</v>
      </c>
      <c r="G218" s="80" t="s">
        <v>445</v>
      </c>
      <c r="L218" s="106"/>
    </row>
    <row r="219" spans="1:12" x14ac:dyDescent="0.15">
      <c r="A219" s="93"/>
      <c r="B219" s="92" t="s">
        <v>442</v>
      </c>
      <c r="C219" s="101" t="s">
        <v>446</v>
      </c>
      <c r="D219" s="101" t="s">
        <v>447</v>
      </c>
      <c r="E219" s="101" t="s">
        <v>448</v>
      </c>
      <c r="F219" s="101" t="s">
        <v>449</v>
      </c>
      <c r="G219" s="103" t="s">
        <v>109</v>
      </c>
      <c r="H219" s="115">
        <v>2025</v>
      </c>
    </row>
    <row r="220" spans="1:12" ht="16.5" x14ac:dyDescent="0.15">
      <c r="A220" s="105" t="s">
        <v>477</v>
      </c>
      <c r="B220" s="104">
        <f>SUM(C220:F227)</f>
        <v>92597.983446898725</v>
      </c>
      <c r="C220" s="100">
        <f>C176*$F$172</f>
        <v>0</v>
      </c>
      <c r="D220" s="100">
        <f t="shared" ref="D220:F220" si="117">D176*$F$172</f>
        <v>202.18891690996119</v>
      </c>
      <c r="E220" s="100">
        <f t="shared" si="117"/>
        <v>527.13539051525595</v>
      </c>
      <c r="F220" s="100">
        <f t="shared" si="117"/>
        <v>279.37738058960275</v>
      </c>
      <c r="G220" s="108">
        <f>SUM(C220:F220)</f>
        <v>1008.7016880148199</v>
      </c>
    </row>
    <row r="221" spans="1:12" x14ac:dyDescent="0.15">
      <c r="A221" s="93" t="s">
        <v>511</v>
      </c>
      <c r="B221" s="92" t="s">
        <v>510</v>
      </c>
      <c r="C221" s="100">
        <f t="shared" ref="C221:F227" si="118">C177*$F$172</f>
        <v>7347.2230292740624</v>
      </c>
      <c r="D221" s="100">
        <f t="shared" si="118"/>
        <v>26.983139411752802</v>
      </c>
      <c r="E221" s="100">
        <f t="shared" si="118"/>
        <v>569.75042467999083</v>
      </c>
      <c r="F221" s="100">
        <f t="shared" si="118"/>
        <v>375.38429324571257</v>
      </c>
      <c r="G221" s="108">
        <f t="shared" ref="G221:G226" si="119">SUM(C221:F221)</f>
        <v>8319.3408866115187</v>
      </c>
    </row>
    <row r="222" spans="1:12" x14ac:dyDescent="0.15">
      <c r="A222" s="93" t="s">
        <v>513</v>
      </c>
      <c r="B222" s="92" t="s">
        <v>512</v>
      </c>
      <c r="C222" s="100">
        <f t="shared" si="118"/>
        <v>0</v>
      </c>
      <c r="D222" s="100">
        <f t="shared" si="118"/>
        <v>0</v>
      </c>
      <c r="E222" s="100">
        <f t="shared" si="118"/>
        <v>0</v>
      </c>
      <c r="F222" s="100">
        <f t="shared" si="118"/>
        <v>0</v>
      </c>
      <c r="G222" s="108">
        <f t="shared" si="119"/>
        <v>0</v>
      </c>
      <c r="L222" s="106"/>
    </row>
    <row r="223" spans="1:12" x14ac:dyDescent="0.15">
      <c r="A223" s="93" t="s">
        <v>478</v>
      </c>
      <c r="B223" s="92" t="s">
        <v>514</v>
      </c>
      <c r="C223" s="100">
        <f t="shared" si="118"/>
        <v>18173.397403485618</v>
      </c>
      <c r="D223" s="100">
        <f t="shared" si="118"/>
        <v>56.222851556875703</v>
      </c>
      <c r="E223" s="100">
        <f t="shared" si="118"/>
        <v>4249.6051238793461</v>
      </c>
      <c r="F223" s="100">
        <f t="shared" si="118"/>
        <v>0</v>
      </c>
      <c r="G223" s="108">
        <f t="shared" si="119"/>
        <v>22479.225378921838</v>
      </c>
      <c r="L223" s="106"/>
    </row>
    <row r="224" spans="1:12" x14ac:dyDescent="0.15">
      <c r="A224" s="93" t="s">
        <v>479</v>
      </c>
      <c r="B224" s="92" t="s">
        <v>515</v>
      </c>
      <c r="C224" s="100">
        <f t="shared" si="118"/>
        <v>5869.3867080907894</v>
      </c>
      <c r="D224" s="100">
        <f t="shared" si="118"/>
        <v>97.196741915523148</v>
      </c>
      <c r="E224" s="100">
        <f t="shared" si="118"/>
        <v>13295.890659397252</v>
      </c>
      <c r="F224" s="100">
        <f t="shared" si="118"/>
        <v>0</v>
      </c>
      <c r="G224" s="108">
        <f t="shared" si="119"/>
        <v>19262.474109403563</v>
      </c>
    </row>
    <row r="225" spans="1:12" x14ac:dyDescent="0.15">
      <c r="A225" s="93" t="s">
        <v>517</v>
      </c>
      <c r="B225" s="92" t="s">
        <v>516</v>
      </c>
      <c r="C225" s="100">
        <f t="shared" si="118"/>
        <v>0</v>
      </c>
      <c r="D225" s="100">
        <f t="shared" si="118"/>
        <v>0</v>
      </c>
      <c r="E225" s="100">
        <f t="shared" si="118"/>
        <v>0</v>
      </c>
      <c r="F225" s="100">
        <f t="shared" si="118"/>
        <v>0</v>
      </c>
      <c r="G225" s="108">
        <f t="shared" si="119"/>
        <v>0</v>
      </c>
    </row>
    <row r="226" spans="1:12" x14ac:dyDescent="0.15">
      <c r="A226" s="93" t="s">
        <v>518</v>
      </c>
      <c r="B226" s="92" t="s">
        <v>469</v>
      </c>
      <c r="C226" s="100">
        <f t="shared" si="118"/>
        <v>33066.326129181616</v>
      </c>
      <c r="D226" s="100">
        <f t="shared" si="118"/>
        <v>21.786184025809536</v>
      </c>
      <c r="E226" s="100">
        <f t="shared" si="118"/>
        <v>0</v>
      </c>
      <c r="F226" s="100">
        <f t="shared" si="118"/>
        <v>0</v>
      </c>
      <c r="G226" s="108">
        <f t="shared" si="119"/>
        <v>33088.112313207428</v>
      </c>
    </row>
    <row r="227" spans="1:12" x14ac:dyDescent="0.15">
      <c r="A227" s="118" t="s">
        <v>661</v>
      </c>
      <c r="B227" s="119" t="s">
        <v>660</v>
      </c>
      <c r="C227" s="100">
        <f t="shared" si="118"/>
        <v>5342.7026321222074</v>
      </c>
      <c r="D227" s="100">
        <f t="shared" si="118"/>
        <v>1102.6571709133207</v>
      </c>
      <c r="E227" s="100">
        <f t="shared" si="118"/>
        <v>1672.1340716256302</v>
      </c>
      <c r="F227" s="100">
        <f t="shared" si="118"/>
        <v>322.63519607838845</v>
      </c>
      <c r="G227" s="108">
        <f>SUM(C227:F227)</f>
        <v>8440.1290707395456</v>
      </c>
      <c r="L227" s="106"/>
    </row>
    <row r="228" spans="1:12" x14ac:dyDescent="0.15">
      <c r="L228" s="106"/>
    </row>
    <row r="229" spans="1:12" x14ac:dyDescent="0.15">
      <c r="A229" s="89" t="s">
        <v>668</v>
      </c>
      <c r="F229" s="174">
        <v>2022</v>
      </c>
      <c r="G229" s="174">
        <v>2023</v>
      </c>
      <c r="H229" s="175"/>
      <c r="I229" s="174">
        <v>2024</v>
      </c>
      <c r="J229" s="174">
        <v>2025</v>
      </c>
    </row>
    <row r="230" spans="1:12" x14ac:dyDescent="0.15">
      <c r="F230" s="83">
        <f>'Tabela 01'!I145</f>
        <v>16517.297232837336</v>
      </c>
      <c r="G230" s="83">
        <f>'Tabela 01'!J145</f>
        <v>16322.180829791663</v>
      </c>
      <c r="I230" s="83">
        <f>'Tabela 01'!K145</f>
        <v>18737.379503825723</v>
      </c>
      <c r="J230" s="83">
        <f>'Tabela 01'!L145</f>
        <v>18561.15336100923</v>
      </c>
    </row>
    <row r="231" spans="1:12" x14ac:dyDescent="0.15">
      <c r="A231" s="77" t="s">
        <v>662</v>
      </c>
      <c r="B231" s="77" t="s">
        <v>663</v>
      </c>
      <c r="D231" s="88">
        <v>4539.83</v>
      </c>
      <c r="E231" s="85">
        <f>D231/D234</f>
        <v>0.23562124594329623</v>
      </c>
      <c r="F231" s="83">
        <f>E231*F230</f>
        <v>3891.826153616892</v>
      </c>
      <c r="G231" s="83">
        <f>E231*G230</f>
        <v>3845.8525836272966</v>
      </c>
      <c r="I231" s="83">
        <f>E231*I230</f>
        <v>4414.9247044037984</v>
      </c>
      <c r="J231" s="83">
        <f>E231*J230</f>
        <v>4373.4020810655948</v>
      </c>
      <c r="L231" s="106"/>
    </row>
    <row r="232" spans="1:12" x14ac:dyDescent="0.15">
      <c r="A232" s="77" t="s">
        <v>664</v>
      </c>
      <c r="B232" s="77" t="s">
        <v>665</v>
      </c>
      <c r="D232" s="88">
        <v>6645.51</v>
      </c>
      <c r="E232" s="85">
        <f>D232/D234</f>
        <v>0.34490792521496061</v>
      </c>
      <c r="F232" s="83">
        <f>E232*F230</f>
        <v>5696.9467187367354</v>
      </c>
      <c r="G232" s="83">
        <f>E232*G230</f>
        <v>5629.6495249868467</v>
      </c>
      <c r="I232" s="83">
        <f>E232*I230</f>
        <v>6462.670688629858</v>
      </c>
      <c r="J232" s="83">
        <f>E232*J230</f>
        <v>6401.8888953423866</v>
      </c>
      <c r="L232" s="106"/>
    </row>
    <row r="233" spans="1:12" x14ac:dyDescent="0.15">
      <c r="A233" s="77" t="s">
        <v>667</v>
      </c>
      <c r="B233" s="77" t="s">
        <v>666</v>
      </c>
      <c r="D233" s="88">
        <v>8082.15</v>
      </c>
      <c r="E233" s="85">
        <f>D233/D234</f>
        <v>0.4194708288417433</v>
      </c>
      <c r="F233" s="83">
        <f>E233*F230</f>
        <v>6928.5243604837106</v>
      </c>
      <c r="G233" s="83">
        <f>E233*G230</f>
        <v>6846.6787211775227</v>
      </c>
      <c r="I233" s="83">
        <f>E233*I230</f>
        <v>7859.7841107920685</v>
      </c>
      <c r="J233" s="83">
        <f>E233*J230</f>
        <v>7785.8623846012515</v>
      </c>
    </row>
    <row r="234" spans="1:12" x14ac:dyDescent="0.15">
      <c r="D234" s="173">
        <f>SUM(D231:D233)</f>
        <v>19267.489999999998</v>
      </c>
      <c r="F234" s="83">
        <f>SUM(F231:F233)-F230</f>
        <v>0</v>
      </c>
      <c r="G234" s="83">
        <f>SUM(G231:G233)-G230</f>
        <v>0</v>
      </c>
      <c r="I234" s="83">
        <f>SUM(I231:I233)-I230</f>
        <v>0</v>
      </c>
      <c r="J234" s="83">
        <f>SUM(J231:J233)-J230</f>
        <v>0</v>
      </c>
    </row>
    <row r="236" spans="1:12" x14ac:dyDescent="0.15">
      <c r="L236" s="106"/>
    </row>
    <row r="237" spans="1:12" x14ac:dyDescent="0.15">
      <c r="L237" s="106"/>
    </row>
    <row r="241" spans="12:12" x14ac:dyDescent="0.15">
      <c r="L241" s="106"/>
    </row>
    <row r="242" spans="12:12" x14ac:dyDescent="0.15">
      <c r="L242" s="106"/>
    </row>
    <row r="246" spans="12:12" x14ac:dyDescent="0.15">
      <c r="L246" s="106"/>
    </row>
    <row r="247" spans="12:12" x14ac:dyDescent="0.15">
      <c r="L247" s="106"/>
    </row>
    <row r="251" spans="12:12" x14ac:dyDescent="0.15">
      <c r="L251" s="106"/>
    </row>
    <row r="252" spans="12:12" x14ac:dyDescent="0.15">
      <c r="L252" s="106"/>
    </row>
    <row r="256" spans="12:12" x14ac:dyDescent="0.15">
      <c r="L256" s="106"/>
    </row>
    <row r="257" spans="12:12" x14ac:dyDescent="0.15">
      <c r="L257" s="106"/>
    </row>
    <row r="261" spans="12:12" x14ac:dyDescent="0.15">
      <c r="L261" s="106"/>
    </row>
    <row r="262" spans="12:12" x14ac:dyDescent="0.15">
      <c r="L262" s="106"/>
    </row>
    <row r="266" spans="12:12" x14ac:dyDescent="0.15">
      <c r="L266" s="106"/>
    </row>
    <row r="267" spans="12:12" x14ac:dyDescent="0.15">
      <c r="L267" s="106"/>
    </row>
    <row r="271" spans="12:12" x14ac:dyDescent="0.15">
      <c r="L271" s="106"/>
    </row>
    <row r="272" spans="12:12" x14ac:dyDescent="0.15">
      <c r="L272" s="106"/>
    </row>
    <row r="276" spans="12:12" x14ac:dyDescent="0.15">
      <c r="L276" s="106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76"/>
  <sheetViews>
    <sheetView topLeftCell="A151" workbookViewId="0">
      <selection activeCell="C475" sqref="C475:I475"/>
    </sheetView>
  </sheetViews>
  <sheetFormatPr defaultRowHeight="15" x14ac:dyDescent="0.25"/>
  <cols>
    <col min="1" max="1" width="20.28515625" bestFit="1" customWidth="1"/>
    <col min="2" max="2" width="59.140625" bestFit="1" customWidth="1"/>
    <col min="3" max="3" width="15" bestFit="1" customWidth="1"/>
    <col min="4" max="4" width="8.140625" bestFit="1" customWidth="1"/>
    <col min="5" max="5" width="15" bestFit="1" customWidth="1"/>
    <col min="6" max="6" width="8.140625" bestFit="1" customWidth="1"/>
    <col min="7" max="7" width="15.42578125" bestFit="1" customWidth="1"/>
    <col min="8" max="8" width="8.140625" bestFit="1" customWidth="1"/>
    <col min="9" max="9" width="15" bestFit="1" customWidth="1"/>
    <col min="10" max="10" width="8.140625" bestFit="1" customWidth="1"/>
    <col min="11" max="11" width="15" bestFit="1" customWidth="1"/>
  </cols>
  <sheetData>
    <row r="1" spans="1:11" x14ac:dyDescent="0.25">
      <c r="A1" s="317" t="s">
        <v>186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x14ac:dyDescent="0.25">
      <c r="A2" s="317" t="s">
        <v>187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x14ac:dyDescent="0.25">
      <c r="A3" s="318" t="s">
        <v>188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x14ac:dyDescent="0.25">
      <c r="A4" s="318" t="s">
        <v>189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x14ac:dyDescent="0.25">
      <c r="A5" s="317" t="s">
        <v>190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</row>
    <row r="6" spans="1:11" x14ac:dyDescent="0.25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8.75" x14ac:dyDescent="0.25">
      <c r="A7" s="319" t="s">
        <v>191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</row>
    <row r="9" spans="1:11" x14ac:dyDescent="0.25">
      <c r="A9" s="290" t="s">
        <v>192</v>
      </c>
      <c r="B9" s="290"/>
      <c r="C9" s="290" t="s">
        <v>193</v>
      </c>
      <c r="D9" s="290"/>
      <c r="E9" s="290"/>
      <c r="G9" s="183" t="s">
        <v>194</v>
      </c>
      <c r="I9" s="314" t="s">
        <v>195</v>
      </c>
      <c r="J9" s="314"/>
    </row>
    <row r="10" spans="1:11" x14ac:dyDescent="0.25">
      <c r="A10" s="307" t="s">
        <v>196</v>
      </c>
      <c r="B10" s="307"/>
      <c r="C10" s="307"/>
      <c r="D10" s="307"/>
      <c r="E10" s="307"/>
      <c r="F10" s="307"/>
      <c r="G10" s="307"/>
      <c r="H10" s="307"/>
    </row>
    <row r="11" spans="1:11" ht="15.75" x14ac:dyDescent="0.25">
      <c r="A11" s="308" t="s">
        <v>197</v>
      </c>
      <c r="B11" s="308"/>
      <c r="C11" s="310" t="s">
        <v>198</v>
      </c>
      <c r="D11" s="310"/>
      <c r="E11" s="310"/>
      <c r="F11" s="310"/>
      <c r="G11" s="310"/>
      <c r="H11" s="310"/>
      <c r="I11" s="310"/>
      <c r="J11" s="310"/>
      <c r="K11" s="310"/>
    </row>
    <row r="12" spans="1:11" ht="15.75" x14ac:dyDescent="0.25">
      <c r="A12" s="309"/>
      <c r="B12" s="309"/>
      <c r="C12" s="311">
        <v>2022</v>
      </c>
      <c r="D12" s="311"/>
      <c r="E12" s="311">
        <v>2023</v>
      </c>
      <c r="F12" s="311"/>
      <c r="G12" s="311">
        <v>2024</v>
      </c>
      <c r="H12" s="311"/>
      <c r="I12" s="311">
        <v>2025</v>
      </c>
      <c r="J12" s="311"/>
      <c r="K12" s="312" t="s">
        <v>90</v>
      </c>
    </row>
    <row r="13" spans="1:11" ht="15.75" x14ac:dyDescent="0.25">
      <c r="A13" s="308"/>
      <c r="B13" s="308"/>
      <c r="C13" s="184" t="s">
        <v>199</v>
      </c>
      <c r="D13" s="184" t="s">
        <v>200</v>
      </c>
      <c r="E13" s="184" t="s">
        <v>199</v>
      </c>
      <c r="F13" s="184" t="s">
        <v>200</v>
      </c>
      <c r="G13" s="184" t="s">
        <v>199</v>
      </c>
      <c r="H13" s="184" t="s">
        <v>200</v>
      </c>
      <c r="I13" s="184" t="s">
        <v>199</v>
      </c>
      <c r="J13" s="184" t="s">
        <v>200</v>
      </c>
      <c r="K13" s="313"/>
    </row>
    <row r="14" spans="1:11" x14ac:dyDescent="0.25">
      <c r="A14" s="315" t="s">
        <v>201</v>
      </c>
      <c r="B14" s="315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 x14ac:dyDescent="0.25">
      <c r="A15" s="186" t="s">
        <v>202</v>
      </c>
      <c r="B15" s="187" t="s">
        <v>201</v>
      </c>
      <c r="C15" s="188">
        <v>131814487.36</v>
      </c>
      <c r="D15" s="188">
        <v>0</v>
      </c>
      <c r="E15" s="188">
        <v>145030605.47999999</v>
      </c>
      <c r="F15" s="188">
        <v>0</v>
      </c>
      <c r="G15" s="188">
        <v>157478153.80000001</v>
      </c>
      <c r="H15" s="188">
        <v>0</v>
      </c>
      <c r="I15" s="188">
        <v>171797766.34999999</v>
      </c>
      <c r="J15" s="188">
        <v>0</v>
      </c>
      <c r="K15" s="188">
        <v>606121012.99000001</v>
      </c>
    </row>
    <row r="16" spans="1:11" x14ac:dyDescent="0.25">
      <c r="A16" s="186" t="s">
        <v>203</v>
      </c>
      <c r="B16" s="187" t="s">
        <v>204</v>
      </c>
      <c r="C16" s="188">
        <v>16164648</v>
      </c>
      <c r="D16" s="188">
        <v>0</v>
      </c>
      <c r="E16" s="188">
        <v>12586830.369999999</v>
      </c>
      <c r="F16" s="188">
        <v>0</v>
      </c>
      <c r="G16" s="188">
        <v>14335023.01</v>
      </c>
      <c r="H16" s="188">
        <v>0</v>
      </c>
      <c r="I16" s="188">
        <v>14251067.439999999</v>
      </c>
      <c r="J16" s="188">
        <v>0</v>
      </c>
      <c r="K16" s="188">
        <v>57337568.82</v>
      </c>
    </row>
    <row r="17" spans="1:11" x14ac:dyDescent="0.25">
      <c r="A17" s="186" t="s">
        <v>205</v>
      </c>
      <c r="B17" s="187" t="s">
        <v>206</v>
      </c>
      <c r="C17" s="188">
        <v>14578065.76</v>
      </c>
      <c r="D17" s="188">
        <v>0</v>
      </c>
      <c r="E17" s="188">
        <v>11359764.949999999</v>
      </c>
      <c r="F17" s="188">
        <v>0</v>
      </c>
      <c r="G17" s="188">
        <v>12975122.720000001</v>
      </c>
      <c r="H17" s="188">
        <v>0</v>
      </c>
      <c r="I17" s="188">
        <v>12875790.050000001</v>
      </c>
      <c r="J17" s="188">
        <v>0</v>
      </c>
      <c r="K17" s="188">
        <v>51788743.479999997</v>
      </c>
    </row>
    <row r="18" spans="1:11" x14ac:dyDescent="0.25">
      <c r="A18" s="186" t="s">
        <v>207</v>
      </c>
      <c r="B18" s="187" t="s">
        <v>208</v>
      </c>
      <c r="C18" s="188">
        <v>3914901.83</v>
      </c>
      <c r="D18" s="188">
        <v>0</v>
      </c>
      <c r="E18" s="188">
        <v>3172414.08</v>
      </c>
      <c r="F18" s="188">
        <v>0</v>
      </c>
      <c r="G18" s="188">
        <v>3687881.82</v>
      </c>
      <c r="H18" s="188">
        <v>0</v>
      </c>
      <c r="I18" s="188">
        <v>3792482.3</v>
      </c>
      <c r="J18" s="188">
        <v>0</v>
      </c>
      <c r="K18" s="188">
        <v>14567680.029999999</v>
      </c>
    </row>
    <row r="19" spans="1:11" x14ac:dyDescent="0.25">
      <c r="A19" s="186" t="s">
        <v>209</v>
      </c>
      <c r="B19" s="187" t="s">
        <v>210</v>
      </c>
      <c r="C19" s="188">
        <v>3914901.83</v>
      </c>
      <c r="D19" s="188">
        <v>0</v>
      </c>
      <c r="E19" s="188">
        <v>3172414.08</v>
      </c>
      <c r="F19" s="188">
        <v>0</v>
      </c>
      <c r="G19" s="188">
        <v>3687881.82</v>
      </c>
      <c r="H19" s="188">
        <v>0</v>
      </c>
      <c r="I19" s="188">
        <v>3792482.3</v>
      </c>
      <c r="J19" s="188">
        <v>0</v>
      </c>
      <c r="K19" s="188">
        <v>14567680.029999999</v>
      </c>
    </row>
    <row r="20" spans="1:11" x14ac:dyDescent="0.25">
      <c r="A20" s="186" t="s">
        <v>211</v>
      </c>
      <c r="B20" s="187" t="s">
        <v>212</v>
      </c>
      <c r="C20" s="188">
        <v>3855803.57</v>
      </c>
      <c r="D20" s="188">
        <v>0</v>
      </c>
      <c r="E20" s="188">
        <v>3124524.19</v>
      </c>
      <c r="F20" s="188">
        <v>0</v>
      </c>
      <c r="G20" s="188">
        <v>3632207.55</v>
      </c>
      <c r="H20" s="188">
        <v>0</v>
      </c>
      <c r="I20" s="188">
        <v>3735232.05</v>
      </c>
      <c r="J20" s="188">
        <v>0</v>
      </c>
      <c r="K20" s="188">
        <v>14347767.359999999</v>
      </c>
    </row>
    <row r="21" spans="1:11" x14ac:dyDescent="0.25">
      <c r="A21" s="186" t="s">
        <v>213</v>
      </c>
      <c r="B21" s="187" t="s">
        <v>214</v>
      </c>
      <c r="C21" s="188">
        <v>3855803.57</v>
      </c>
      <c r="D21" s="188">
        <v>0</v>
      </c>
      <c r="E21" s="188">
        <v>3124524.19</v>
      </c>
      <c r="F21" s="188">
        <v>0</v>
      </c>
      <c r="G21" s="188">
        <v>3632207.55</v>
      </c>
      <c r="H21" s="188">
        <v>0</v>
      </c>
      <c r="I21" s="188">
        <v>3735232.05</v>
      </c>
      <c r="J21" s="188">
        <v>0</v>
      </c>
      <c r="K21" s="188">
        <v>14347767.359999999</v>
      </c>
    </row>
    <row r="22" spans="1:11" x14ac:dyDescent="0.25">
      <c r="A22" s="186" t="s">
        <v>215</v>
      </c>
      <c r="B22" s="187" t="s">
        <v>216</v>
      </c>
      <c r="C22" s="188">
        <v>3158978.58</v>
      </c>
      <c r="D22" s="188">
        <v>0</v>
      </c>
      <c r="E22" s="188">
        <v>2559856.7999999998</v>
      </c>
      <c r="F22" s="188">
        <v>0</v>
      </c>
      <c r="G22" s="188">
        <v>2975754.75</v>
      </c>
      <c r="H22" s="188">
        <v>0</v>
      </c>
      <c r="I22" s="188">
        <v>3060196.87</v>
      </c>
      <c r="J22" s="188">
        <v>0</v>
      </c>
      <c r="K22" s="188">
        <v>11754787</v>
      </c>
    </row>
    <row r="23" spans="1:11" x14ac:dyDescent="0.25">
      <c r="A23" s="186" t="s">
        <v>217</v>
      </c>
      <c r="B23" s="187" t="s">
        <v>218</v>
      </c>
      <c r="C23" s="188">
        <v>1895387.15</v>
      </c>
      <c r="D23" s="188">
        <v>0</v>
      </c>
      <c r="E23" s="188">
        <v>1535914.08</v>
      </c>
      <c r="F23" s="188">
        <v>0</v>
      </c>
      <c r="G23" s="188">
        <v>1785372.45</v>
      </c>
      <c r="H23" s="188">
        <v>0</v>
      </c>
      <c r="I23" s="188">
        <v>1836118.12</v>
      </c>
      <c r="J23" s="188">
        <v>0</v>
      </c>
      <c r="K23" s="188">
        <v>7052791.7999999998</v>
      </c>
    </row>
    <row r="24" spans="1:11" x14ac:dyDescent="0.25">
      <c r="A24" s="186" t="s">
        <v>219</v>
      </c>
      <c r="B24" s="187" t="s">
        <v>220</v>
      </c>
      <c r="C24" s="188">
        <v>789744.64000000001</v>
      </c>
      <c r="D24" s="188">
        <v>0</v>
      </c>
      <c r="E24" s="188">
        <v>639964.19999999995</v>
      </c>
      <c r="F24" s="188">
        <v>0</v>
      </c>
      <c r="G24" s="188">
        <v>743988.94</v>
      </c>
      <c r="H24" s="188">
        <v>0</v>
      </c>
      <c r="I24" s="188">
        <v>765049.22</v>
      </c>
      <c r="J24" s="188">
        <v>0</v>
      </c>
      <c r="K24" s="188">
        <v>2938747</v>
      </c>
    </row>
    <row r="25" spans="1:11" x14ac:dyDescent="0.25">
      <c r="A25" s="186" t="s">
        <v>221</v>
      </c>
      <c r="B25" s="187" t="s">
        <v>222</v>
      </c>
      <c r="C25" s="188">
        <v>473846.79</v>
      </c>
      <c r="D25" s="188">
        <v>0</v>
      </c>
      <c r="E25" s="188">
        <v>383978.52</v>
      </c>
      <c r="F25" s="188">
        <v>0</v>
      </c>
      <c r="G25" s="188">
        <v>446393.36</v>
      </c>
      <c r="H25" s="188">
        <v>0</v>
      </c>
      <c r="I25" s="188">
        <v>459029.53</v>
      </c>
      <c r="J25" s="188">
        <v>0</v>
      </c>
      <c r="K25" s="188">
        <v>1763248.2</v>
      </c>
    </row>
    <row r="26" spans="1:11" x14ac:dyDescent="0.25">
      <c r="A26" s="186" t="s">
        <v>223</v>
      </c>
      <c r="B26" s="187" t="s">
        <v>224</v>
      </c>
      <c r="C26" s="188">
        <v>169713.35</v>
      </c>
      <c r="D26" s="188">
        <v>0</v>
      </c>
      <c r="E26" s="188">
        <v>137526.04999999999</v>
      </c>
      <c r="F26" s="188">
        <v>0</v>
      </c>
      <c r="G26" s="188">
        <v>159880.6</v>
      </c>
      <c r="H26" s="188">
        <v>0</v>
      </c>
      <c r="I26" s="188">
        <v>164406.39000000001</v>
      </c>
      <c r="J26" s="188">
        <v>0</v>
      </c>
      <c r="K26" s="188">
        <v>631526.39</v>
      </c>
    </row>
    <row r="27" spans="1:11" x14ac:dyDescent="0.25">
      <c r="A27" s="186" t="s">
        <v>225</v>
      </c>
      <c r="B27" s="187" t="s">
        <v>218</v>
      </c>
      <c r="C27" s="188">
        <v>101828.01</v>
      </c>
      <c r="D27" s="188">
        <v>0</v>
      </c>
      <c r="E27" s="188">
        <v>82515.63</v>
      </c>
      <c r="F27" s="188">
        <v>0</v>
      </c>
      <c r="G27" s="188">
        <v>95928.36</v>
      </c>
      <c r="H27" s="188">
        <v>0</v>
      </c>
      <c r="I27" s="188">
        <v>98643.83</v>
      </c>
      <c r="J27" s="188">
        <v>0</v>
      </c>
      <c r="K27" s="188">
        <v>378915.83</v>
      </c>
    </row>
    <row r="28" spans="1:11" x14ac:dyDescent="0.25">
      <c r="A28" s="186" t="s">
        <v>226</v>
      </c>
      <c r="B28" s="187" t="s">
        <v>220</v>
      </c>
      <c r="C28" s="188">
        <v>42428.34</v>
      </c>
      <c r="D28" s="188">
        <v>0</v>
      </c>
      <c r="E28" s="188">
        <v>34381.51</v>
      </c>
      <c r="F28" s="188">
        <v>0</v>
      </c>
      <c r="G28" s="188">
        <v>39970.15</v>
      </c>
      <c r="H28" s="188">
        <v>0</v>
      </c>
      <c r="I28" s="188">
        <v>41101.599999999999</v>
      </c>
      <c r="J28" s="188">
        <v>0</v>
      </c>
      <c r="K28" s="188">
        <v>157881.60000000001</v>
      </c>
    </row>
    <row r="29" spans="1:11" x14ac:dyDescent="0.25">
      <c r="A29" s="186" t="s">
        <v>227</v>
      </c>
      <c r="B29" s="187" t="s">
        <v>222</v>
      </c>
      <c r="C29" s="188">
        <v>25457</v>
      </c>
      <c r="D29" s="188">
        <v>0</v>
      </c>
      <c r="E29" s="188">
        <v>20628.91</v>
      </c>
      <c r="F29" s="188">
        <v>0</v>
      </c>
      <c r="G29" s="188">
        <v>23982.09</v>
      </c>
      <c r="H29" s="188">
        <v>0</v>
      </c>
      <c r="I29" s="188">
        <v>24660.959999999999</v>
      </c>
      <c r="J29" s="188">
        <v>0</v>
      </c>
      <c r="K29" s="188">
        <v>94728.960000000006</v>
      </c>
    </row>
    <row r="30" spans="1:11" x14ac:dyDescent="0.25">
      <c r="A30" s="186" t="s">
        <v>228</v>
      </c>
      <c r="B30" s="187" t="s">
        <v>229</v>
      </c>
      <c r="C30" s="188">
        <v>487707.16</v>
      </c>
      <c r="D30" s="188">
        <v>0</v>
      </c>
      <c r="E30" s="188">
        <v>395210.18</v>
      </c>
      <c r="F30" s="188">
        <v>0</v>
      </c>
      <c r="G30" s="188">
        <v>459450.71</v>
      </c>
      <c r="H30" s="188">
        <v>0</v>
      </c>
      <c r="I30" s="188">
        <v>472456.48</v>
      </c>
      <c r="J30" s="188">
        <v>0</v>
      </c>
      <c r="K30" s="188">
        <v>1814824.53</v>
      </c>
    </row>
    <row r="31" spans="1:11" x14ac:dyDescent="0.25">
      <c r="A31" s="186" t="s">
        <v>230</v>
      </c>
      <c r="B31" s="187" t="s">
        <v>218</v>
      </c>
      <c r="C31" s="188">
        <v>292624.3</v>
      </c>
      <c r="D31" s="188">
        <v>0</v>
      </c>
      <c r="E31" s="188">
        <v>237126.11</v>
      </c>
      <c r="F31" s="188">
        <v>0</v>
      </c>
      <c r="G31" s="188">
        <v>275670.42</v>
      </c>
      <c r="H31" s="188">
        <v>0</v>
      </c>
      <c r="I31" s="188">
        <v>283473.89</v>
      </c>
      <c r="J31" s="188">
        <v>0</v>
      </c>
      <c r="K31" s="188">
        <v>1088894.72</v>
      </c>
    </row>
    <row r="32" spans="1:11" x14ac:dyDescent="0.25">
      <c r="A32" s="186" t="s">
        <v>231</v>
      </c>
      <c r="B32" s="187" t="s">
        <v>220</v>
      </c>
      <c r="C32" s="188">
        <v>121926.79</v>
      </c>
      <c r="D32" s="188">
        <v>0</v>
      </c>
      <c r="E32" s="188">
        <v>98802.54</v>
      </c>
      <c r="F32" s="188">
        <v>0</v>
      </c>
      <c r="G32" s="188">
        <v>114862.68</v>
      </c>
      <c r="H32" s="188">
        <v>0</v>
      </c>
      <c r="I32" s="188">
        <v>118114.12</v>
      </c>
      <c r="J32" s="188">
        <v>0</v>
      </c>
      <c r="K32" s="188">
        <v>453706.13</v>
      </c>
    </row>
    <row r="33" spans="1:11" x14ac:dyDescent="0.25">
      <c r="A33" s="186" t="s">
        <v>232</v>
      </c>
      <c r="B33" s="187" t="s">
        <v>222</v>
      </c>
      <c r="C33" s="188">
        <v>73156.070000000007</v>
      </c>
      <c r="D33" s="188">
        <v>0</v>
      </c>
      <c r="E33" s="188">
        <v>59281.53</v>
      </c>
      <c r="F33" s="188">
        <v>0</v>
      </c>
      <c r="G33" s="188">
        <v>68917.61</v>
      </c>
      <c r="H33" s="188">
        <v>0</v>
      </c>
      <c r="I33" s="188">
        <v>70868.47</v>
      </c>
      <c r="J33" s="188">
        <v>0</v>
      </c>
      <c r="K33" s="188">
        <v>272223.68</v>
      </c>
    </row>
    <row r="34" spans="1:11" x14ac:dyDescent="0.25">
      <c r="A34" s="186" t="s">
        <v>233</v>
      </c>
      <c r="B34" s="187" t="s">
        <v>234</v>
      </c>
      <c r="C34" s="188">
        <v>39404.480000000003</v>
      </c>
      <c r="D34" s="188">
        <v>0</v>
      </c>
      <c r="E34" s="188">
        <v>31931.16</v>
      </c>
      <c r="F34" s="188">
        <v>0</v>
      </c>
      <c r="G34" s="188">
        <v>37121.49</v>
      </c>
      <c r="H34" s="188">
        <v>0</v>
      </c>
      <c r="I34" s="188">
        <v>38172.31</v>
      </c>
      <c r="J34" s="188">
        <v>0</v>
      </c>
      <c r="K34" s="188">
        <v>146629.44</v>
      </c>
    </row>
    <row r="35" spans="1:11" x14ac:dyDescent="0.25">
      <c r="A35" s="186" t="s">
        <v>235</v>
      </c>
      <c r="B35" s="187" t="s">
        <v>218</v>
      </c>
      <c r="C35" s="188">
        <v>23642.69</v>
      </c>
      <c r="D35" s="188">
        <v>0</v>
      </c>
      <c r="E35" s="188">
        <v>19158.7</v>
      </c>
      <c r="F35" s="188">
        <v>0</v>
      </c>
      <c r="G35" s="188">
        <v>22272.9</v>
      </c>
      <c r="H35" s="188">
        <v>0</v>
      </c>
      <c r="I35" s="188">
        <v>22903.38</v>
      </c>
      <c r="J35" s="188">
        <v>0</v>
      </c>
      <c r="K35" s="188">
        <v>87977.67</v>
      </c>
    </row>
    <row r="36" spans="1:11" x14ac:dyDescent="0.25">
      <c r="A36" s="186" t="s">
        <v>236</v>
      </c>
      <c r="B36" s="187" t="s">
        <v>220</v>
      </c>
      <c r="C36" s="188">
        <v>9851.1200000000008</v>
      </c>
      <c r="D36" s="188">
        <v>0</v>
      </c>
      <c r="E36" s="188">
        <v>7982.79</v>
      </c>
      <c r="F36" s="188">
        <v>0</v>
      </c>
      <c r="G36" s="188">
        <v>9280.3700000000008</v>
      </c>
      <c r="H36" s="188">
        <v>0</v>
      </c>
      <c r="I36" s="188">
        <v>9543.08</v>
      </c>
      <c r="J36" s="188">
        <v>0</v>
      </c>
      <c r="K36" s="188">
        <v>36657.360000000001</v>
      </c>
    </row>
    <row r="37" spans="1:11" x14ac:dyDescent="0.25">
      <c r="A37" s="186" t="s">
        <v>237</v>
      </c>
      <c r="B37" s="187" t="s">
        <v>222</v>
      </c>
      <c r="C37" s="188">
        <v>5910.67</v>
      </c>
      <c r="D37" s="188">
        <v>0</v>
      </c>
      <c r="E37" s="188">
        <v>4789.67</v>
      </c>
      <c r="F37" s="188">
        <v>0</v>
      </c>
      <c r="G37" s="188">
        <v>5568.22</v>
      </c>
      <c r="H37" s="188">
        <v>0</v>
      </c>
      <c r="I37" s="188">
        <v>5725.85</v>
      </c>
      <c r="J37" s="188">
        <v>0</v>
      </c>
      <c r="K37" s="188">
        <v>21994.41</v>
      </c>
    </row>
    <row r="38" spans="1:11" x14ac:dyDescent="0.25">
      <c r="A38" s="186" t="s">
        <v>238</v>
      </c>
      <c r="B38" s="187" t="s">
        <v>239</v>
      </c>
      <c r="C38" s="188">
        <v>59098.26</v>
      </c>
      <c r="D38" s="188">
        <v>0</v>
      </c>
      <c r="E38" s="188">
        <v>47889.89</v>
      </c>
      <c r="F38" s="188">
        <v>0</v>
      </c>
      <c r="G38" s="188">
        <v>55674.27</v>
      </c>
      <c r="H38" s="188">
        <v>0</v>
      </c>
      <c r="I38" s="188">
        <v>57250.25</v>
      </c>
      <c r="J38" s="188">
        <v>0</v>
      </c>
      <c r="K38" s="188">
        <v>219912.67</v>
      </c>
    </row>
    <row r="39" spans="1:11" x14ac:dyDescent="0.25">
      <c r="A39" s="186" t="s">
        <v>240</v>
      </c>
      <c r="B39" s="187" t="s">
        <v>241</v>
      </c>
      <c r="C39" s="188">
        <v>59098.26</v>
      </c>
      <c r="D39" s="188">
        <v>0</v>
      </c>
      <c r="E39" s="188">
        <v>47889.89</v>
      </c>
      <c r="F39" s="188">
        <v>0</v>
      </c>
      <c r="G39" s="188">
        <v>55674.27</v>
      </c>
      <c r="H39" s="188">
        <v>0</v>
      </c>
      <c r="I39" s="188">
        <v>57250.25</v>
      </c>
      <c r="J39" s="188">
        <v>0</v>
      </c>
      <c r="K39" s="188">
        <v>219912.67</v>
      </c>
    </row>
    <row r="40" spans="1:11" x14ac:dyDescent="0.25">
      <c r="A40" s="186" t="s">
        <v>242</v>
      </c>
      <c r="B40" s="187" t="s">
        <v>243</v>
      </c>
      <c r="C40" s="188">
        <v>58598.85</v>
      </c>
      <c r="D40" s="188">
        <v>0</v>
      </c>
      <c r="E40" s="188">
        <v>47485.18</v>
      </c>
      <c r="F40" s="188">
        <v>0</v>
      </c>
      <c r="G40" s="188">
        <v>55203.79</v>
      </c>
      <c r="H40" s="188">
        <v>0</v>
      </c>
      <c r="I40" s="188">
        <v>56766.45</v>
      </c>
      <c r="J40" s="188">
        <v>0</v>
      </c>
      <c r="K40" s="188">
        <v>218054.27</v>
      </c>
    </row>
    <row r="41" spans="1:11" x14ac:dyDescent="0.25">
      <c r="A41" s="186" t="s">
        <v>244</v>
      </c>
      <c r="B41" s="187" t="s">
        <v>245</v>
      </c>
      <c r="C41" s="188">
        <v>35159.31</v>
      </c>
      <c r="D41" s="188">
        <v>0</v>
      </c>
      <c r="E41" s="188">
        <v>28491.11</v>
      </c>
      <c r="F41" s="188">
        <v>0</v>
      </c>
      <c r="G41" s="188">
        <v>33122.269999999997</v>
      </c>
      <c r="H41" s="188">
        <v>0</v>
      </c>
      <c r="I41" s="188">
        <v>34059.870000000003</v>
      </c>
      <c r="J41" s="188">
        <v>0</v>
      </c>
      <c r="K41" s="188">
        <v>130832.56</v>
      </c>
    </row>
    <row r="43" spans="1:11" x14ac:dyDescent="0.25">
      <c r="A43" s="290" t="s">
        <v>192</v>
      </c>
      <c r="B43" s="290"/>
      <c r="C43" s="290" t="s">
        <v>193</v>
      </c>
      <c r="D43" s="290"/>
      <c r="E43" s="290"/>
      <c r="G43" s="183" t="s">
        <v>194</v>
      </c>
      <c r="I43" s="314" t="s">
        <v>195</v>
      </c>
      <c r="J43" s="314"/>
    </row>
    <row r="44" spans="1:11" x14ac:dyDescent="0.25">
      <c r="A44" s="307" t="s">
        <v>196</v>
      </c>
      <c r="B44" s="307"/>
      <c r="C44" s="307"/>
      <c r="D44" s="307"/>
      <c r="E44" s="307"/>
      <c r="F44" s="307"/>
      <c r="G44" s="307"/>
      <c r="H44" s="307"/>
    </row>
    <row r="45" spans="1:11" ht="15.75" x14ac:dyDescent="0.25">
      <c r="A45" s="308" t="s">
        <v>197</v>
      </c>
      <c r="B45" s="308"/>
      <c r="C45" s="310" t="s">
        <v>198</v>
      </c>
      <c r="D45" s="310"/>
      <c r="E45" s="310"/>
      <c r="F45" s="310"/>
      <c r="G45" s="310"/>
      <c r="H45" s="310"/>
      <c r="I45" s="310"/>
      <c r="J45" s="310"/>
      <c r="K45" s="310"/>
    </row>
    <row r="46" spans="1:11" ht="15.75" x14ac:dyDescent="0.25">
      <c r="A46" s="309"/>
      <c r="B46" s="309"/>
      <c r="C46" s="311">
        <v>2022</v>
      </c>
      <c r="D46" s="311"/>
      <c r="E46" s="311">
        <v>2023</v>
      </c>
      <c r="F46" s="311"/>
      <c r="G46" s="311">
        <v>2024</v>
      </c>
      <c r="H46" s="311"/>
      <c r="I46" s="311">
        <v>2025</v>
      </c>
      <c r="J46" s="311"/>
      <c r="K46" s="312" t="s">
        <v>90</v>
      </c>
    </row>
    <row r="47" spans="1:11" ht="15.75" x14ac:dyDescent="0.25">
      <c r="A47" s="308"/>
      <c r="B47" s="308"/>
      <c r="C47" s="184" t="s">
        <v>199</v>
      </c>
      <c r="D47" s="184" t="s">
        <v>200</v>
      </c>
      <c r="E47" s="184" t="s">
        <v>199</v>
      </c>
      <c r="F47" s="184" t="s">
        <v>200</v>
      </c>
      <c r="G47" s="184" t="s">
        <v>199</v>
      </c>
      <c r="H47" s="184" t="s">
        <v>200</v>
      </c>
      <c r="I47" s="184" t="s">
        <v>199</v>
      </c>
      <c r="J47" s="184" t="s">
        <v>200</v>
      </c>
      <c r="K47" s="313"/>
    </row>
    <row r="48" spans="1:11" x14ac:dyDescent="0.25">
      <c r="A48" s="186" t="s">
        <v>246</v>
      </c>
      <c r="B48" s="187" t="s">
        <v>247</v>
      </c>
      <c r="C48" s="188">
        <v>14649.71</v>
      </c>
      <c r="D48" s="188">
        <v>0</v>
      </c>
      <c r="E48" s="188">
        <v>11871.29</v>
      </c>
      <c r="F48" s="188">
        <v>0</v>
      </c>
      <c r="G48" s="188">
        <v>13800.95</v>
      </c>
      <c r="H48" s="188">
        <v>0</v>
      </c>
      <c r="I48" s="188">
        <v>14191.61</v>
      </c>
      <c r="J48" s="188">
        <v>0</v>
      </c>
      <c r="K48" s="188">
        <v>54513.56</v>
      </c>
    </row>
    <row r="49" spans="1:11" x14ac:dyDescent="0.25">
      <c r="A49" s="186" t="s">
        <v>248</v>
      </c>
      <c r="B49" s="187" t="s">
        <v>222</v>
      </c>
      <c r="C49" s="188">
        <v>8789.83</v>
      </c>
      <c r="D49" s="188">
        <v>0</v>
      </c>
      <c r="E49" s="188">
        <v>7122.78</v>
      </c>
      <c r="F49" s="188">
        <v>0</v>
      </c>
      <c r="G49" s="188">
        <v>8280.57</v>
      </c>
      <c r="H49" s="188">
        <v>0</v>
      </c>
      <c r="I49" s="188">
        <v>8514.9699999999993</v>
      </c>
      <c r="J49" s="188">
        <v>0</v>
      </c>
      <c r="K49" s="188">
        <v>32708.15</v>
      </c>
    </row>
    <row r="50" spans="1:11" x14ac:dyDescent="0.25">
      <c r="A50" s="186" t="s">
        <v>249</v>
      </c>
      <c r="B50" s="187" t="s">
        <v>250</v>
      </c>
      <c r="C50" s="188">
        <v>499.41</v>
      </c>
      <c r="D50" s="188">
        <v>0</v>
      </c>
      <c r="E50" s="188">
        <v>404.71</v>
      </c>
      <c r="F50" s="188">
        <v>0</v>
      </c>
      <c r="G50" s="188">
        <v>470.48</v>
      </c>
      <c r="H50" s="188">
        <v>0</v>
      </c>
      <c r="I50" s="188">
        <v>483.8</v>
      </c>
      <c r="J50" s="188">
        <v>0</v>
      </c>
      <c r="K50" s="188">
        <v>1858.4</v>
      </c>
    </row>
    <row r="51" spans="1:11" x14ac:dyDescent="0.25">
      <c r="A51" s="186" t="s">
        <v>251</v>
      </c>
      <c r="B51" s="187" t="s">
        <v>252</v>
      </c>
      <c r="C51" s="188">
        <v>299.64999999999998</v>
      </c>
      <c r="D51" s="188">
        <v>0</v>
      </c>
      <c r="E51" s="188">
        <v>242.82</v>
      </c>
      <c r="F51" s="188">
        <v>0</v>
      </c>
      <c r="G51" s="188">
        <v>282.29000000000002</v>
      </c>
      <c r="H51" s="188">
        <v>0</v>
      </c>
      <c r="I51" s="188">
        <v>290.27999999999997</v>
      </c>
      <c r="J51" s="188">
        <v>0</v>
      </c>
      <c r="K51" s="188">
        <v>1115.04</v>
      </c>
    </row>
    <row r="52" spans="1:11" x14ac:dyDescent="0.25">
      <c r="A52" s="186" t="s">
        <v>253</v>
      </c>
      <c r="B52" s="187" t="s">
        <v>247</v>
      </c>
      <c r="C52" s="188">
        <v>124.85</v>
      </c>
      <c r="D52" s="188">
        <v>0</v>
      </c>
      <c r="E52" s="188">
        <v>101.18</v>
      </c>
      <c r="F52" s="188">
        <v>0</v>
      </c>
      <c r="G52" s="188">
        <v>117.62</v>
      </c>
      <c r="H52" s="188">
        <v>0</v>
      </c>
      <c r="I52" s="188">
        <v>120.95</v>
      </c>
      <c r="J52" s="188">
        <v>0</v>
      </c>
      <c r="K52" s="188">
        <v>464.6</v>
      </c>
    </row>
    <row r="53" spans="1:11" x14ac:dyDescent="0.25">
      <c r="A53" s="186" t="s">
        <v>254</v>
      </c>
      <c r="B53" s="187" t="s">
        <v>222</v>
      </c>
      <c r="C53" s="188">
        <v>74.91</v>
      </c>
      <c r="D53" s="188">
        <v>0</v>
      </c>
      <c r="E53" s="188">
        <v>60.71</v>
      </c>
      <c r="F53" s="188">
        <v>0</v>
      </c>
      <c r="G53" s="188">
        <v>70.569999999999993</v>
      </c>
      <c r="H53" s="188">
        <v>0</v>
      </c>
      <c r="I53" s="188">
        <v>72.569999999999993</v>
      </c>
      <c r="J53" s="188">
        <v>0</v>
      </c>
      <c r="K53" s="188">
        <v>278.76</v>
      </c>
    </row>
    <row r="54" spans="1:11" x14ac:dyDescent="0.25">
      <c r="A54" s="186" t="s">
        <v>255</v>
      </c>
      <c r="B54" s="187" t="s">
        <v>256</v>
      </c>
      <c r="C54" s="188">
        <v>10663163.93</v>
      </c>
      <c r="D54" s="188">
        <v>0</v>
      </c>
      <c r="E54" s="188">
        <v>8187350.8700000001</v>
      </c>
      <c r="F54" s="188">
        <v>0</v>
      </c>
      <c r="G54" s="188">
        <v>9287240.9000000004</v>
      </c>
      <c r="H54" s="188">
        <v>0</v>
      </c>
      <c r="I54" s="188">
        <v>9083307.75</v>
      </c>
      <c r="J54" s="188">
        <v>0</v>
      </c>
      <c r="K54" s="188">
        <v>37221063.450000003</v>
      </c>
    </row>
    <row r="55" spans="1:11" x14ac:dyDescent="0.25">
      <c r="A55" s="186" t="s">
        <v>257</v>
      </c>
      <c r="B55" s="187" t="s">
        <v>258</v>
      </c>
      <c r="C55" s="188">
        <v>4846278.0199999996</v>
      </c>
      <c r="D55" s="188">
        <v>0</v>
      </c>
      <c r="E55" s="188">
        <v>3606368.2</v>
      </c>
      <c r="F55" s="188">
        <v>0</v>
      </c>
      <c r="G55" s="188">
        <v>4062125.28</v>
      </c>
      <c r="H55" s="188">
        <v>0</v>
      </c>
      <c r="I55" s="188">
        <v>3987763.73</v>
      </c>
      <c r="J55" s="188">
        <v>0</v>
      </c>
      <c r="K55" s="188">
        <v>16502535.23</v>
      </c>
    </row>
    <row r="56" spans="1:11" x14ac:dyDescent="0.25">
      <c r="A56" s="186" t="s">
        <v>259</v>
      </c>
      <c r="B56" s="187" t="s">
        <v>260</v>
      </c>
      <c r="C56" s="188">
        <v>3467839.35</v>
      </c>
      <c r="D56" s="188">
        <v>0</v>
      </c>
      <c r="E56" s="188">
        <v>2544425.71</v>
      </c>
      <c r="F56" s="188">
        <v>0</v>
      </c>
      <c r="G56" s="188">
        <v>2876944.65</v>
      </c>
      <c r="H56" s="188">
        <v>0</v>
      </c>
      <c r="I56" s="188">
        <v>2753612.11</v>
      </c>
      <c r="J56" s="188">
        <v>0</v>
      </c>
      <c r="K56" s="188">
        <v>11642821.82</v>
      </c>
    </row>
    <row r="57" spans="1:11" x14ac:dyDescent="0.25">
      <c r="A57" s="186" t="s">
        <v>261</v>
      </c>
      <c r="B57" s="187" t="s">
        <v>262</v>
      </c>
      <c r="C57" s="188">
        <v>2720609.35</v>
      </c>
      <c r="D57" s="188">
        <v>0</v>
      </c>
      <c r="E57" s="188">
        <v>1996167.55</v>
      </c>
      <c r="F57" s="188">
        <v>0</v>
      </c>
      <c r="G57" s="188">
        <v>2257037.21</v>
      </c>
      <c r="H57" s="188">
        <v>0</v>
      </c>
      <c r="I57" s="188">
        <v>2160279.67</v>
      </c>
      <c r="J57" s="188">
        <v>0</v>
      </c>
      <c r="K57" s="188">
        <v>9134093.7799999993</v>
      </c>
    </row>
    <row r="58" spans="1:11" x14ac:dyDescent="0.25">
      <c r="A58" s="186" t="s">
        <v>263</v>
      </c>
      <c r="B58" s="187" t="s">
        <v>264</v>
      </c>
      <c r="C58" s="188">
        <v>1632365.61</v>
      </c>
      <c r="D58" s="188">
        <v>0</v>
      </c>
      <c r="E58" s="188">
        <v>1197700.53</v>
      </c>
      <c r="F58" s="188">
        <v>0</v>
      </c>
      <c r="G58" s="188">
        <v>1354222.33</v>
      </c>
      <c r="H58" s="188">
        <v>0</v>
      </c>
      <c r="I58" s="188">
        <v>1296167.8</v>
      </c>
      <c r="J58" s="188">
        <v>0</v>
      </c>
      <c r="K58" s="188">
        <v>5480456.2699999996</v>
      </c>
    </row>
    <row r="59" spans="1:11" x14ac:dyDescent="0.25">
      <c r="A59" s="186" t="s">
        <v>265</v>
      </c>
      <c r="B59" s="187" t="s">
        <v>266</v>
      </c>
      <c r="C59" s="188">
        <v>680152.34</v>
      </c>
      <c r="D59" s="188">
        <v>0</v>
      </c>
      <c r="E59" s="188">
        <v>499041.89</v>
      </c>
      <c r="F59" s="188">
        <v>0</v>
      </c>
      <c r="G59" s="188">
        <v>564259.30000000005</v>
      </c>
      <c r="H59" s="188">
        <v>0</v>
      </c>
      <c r="I59" s="188">
        <v>540069.92000000004</v>
      </c>
      <c r="J59" s="188">
        <v>0</v>
      </c>
      <c r="K59" s="188">
        <v>2283523.4500000002</v>
      </c>
    </row>
    <row r="60" spans="1:11" x14ac:dyDescent="0.25">
      <c r="A60" s="186" t="s">
        <v>267</v>
      </c>
      <c r="B60" s="187" t="s">
        <v>268</v>
      </c>
      <c r="C60" s="188">
        <v>408091.4</v>
      </c>
      <c r="D60" s="188">
        <v>0</v>
      </c>
      <c r="E60" s="188">
        <v>299425.13</v>
      </c>
      <c r="F60" s="188">
        <v>0</v>
      </c>
      <c r="G60" s="188">
        <v>338555.58</v>
      </c>
      <c r="H60" s="188">
        <v>0</v>
      </c>
      <c r="I60" s="188">
        <v>324041.95</v>
      </c>
      <c r="J60" s="188">
        <v>0</v>
      </c>
      <c r="K60" s="188">
        <v>1370114.06</v>
      </c>
    </row>
    <row r="61" spans="1:11" x14ac:dyDescent="0.25">
      <c r="A61" s="186" t="s">
        <v>269</v>
      </c>
      <c r="B61" s="187" t="s">
        <v>270</v>
      </c>
      <c r="C61" s="188">
        <v>20944.68</v>
      </c>
      <c r="D61" s="188">
        <v>0</v>
      </c>
      <c r="E61" s="188">
        <v>15367.55</v>
      </c>
      <c r="F61" s="188">
        <v>0</v>
      </c>
      <c r="G61" s="188">
        <v>17375.87</v>
      </c>
      <c r="H61" s="188">
        <v>0</v>
      </c>
      <c r="I61" s="188">
        <v>16630.97</v>
      </c>
      <c r="J61" s="188">
        <v>0</v>
      </c>
      <c r="K61" s="188">
        <v>70319.070000000007</v>
      </c>
    </row>
    <row r="62" spans="1:11" x14ac:dyDescent="0.25">
      <c r="A62" s="186" t="s">
        <v>271</v>
      </c>
      <c r="B62" s="187" t="s">
        <v>264</v>
      </c>
      <c r="C62" s="188">
        <v>12566.81</v>
      </c>
      <c r="D62" s="188">
        <v>0</v>
      </c>
      <c r="E62" s="188">
        <v>9220.5300000000007</v>
      </c>
      <c r="F62" s="188">
        <v>0</v>
      </c>
      <c r="G62" s="188">
        <v>10425.52</v>
      </c>
      <c r="H62" s="188">
        <v>0</v>
      </c>
      <c r="I62" s="188">
        <v>9978.58</v>
      </c>
      <c r="J62" s="188">
        <v>0</v>
      </c>
      <c r="K62" s="188">
        <v>42191.44</v>
      </c>
    </row>
    <row r="63" spans="1:11" x14ac:dyDescent="0.25">
      <c r="A63" s="186" t="s">
        <v>272</v>
      </c>
      <c r="B63" s="187" t="s">
        <v>266</v>
      </c>
      <c r="C63" s="188">
        <v>5236.17</v>
      </c>
      <c r="D63" s="188">
        <v>0</v>
      </c>
      <c r="E63" s="188">
        <v>3841.89</v>
      </c>
      <c r="F63" s="188">
        <v>0</v>
      </c>
      <c r="G63" s="188">
        <v>4343.97</v>
      </c>
      <c r="H63" s="188">
        <v>0</v>
      </c>
      <c r="I63" s="188">
        <v>4157.74</v>
      </c>
      <c r="J63" s="188">
        <v>0</v>
      </c>
      <c r="K63" s="188">
        <v>17579.77</v>
      </c>
    </row>
    <row r="64" spans="1:11" x14ac:dyDescent="0.25">
      <c r="A64" s="186" t="s">
        <v>273</v>
      </c>
      <c r="B64" s="187" t="s">
        <v>268</v>
      </c>
      <c r="C64" s="188">
        <v>3141.7</v>
      </c>
      <c r="D64" s="188">
        <v>0</v>
      </c>
      <c r="E64" s="188">
        <v>2305.13</v>
      </c>
      <c r="F64" s="188">
        <v>0</v>
      </c>
      <c r="G64" s="188">
        <v>2606.38</v>
      </c>
      <c r="H64" s="188">
        <v>0</v>
      </c>
      <c r="I64" s="188">
        <v>2494.65</v>
      </c>
      <c r="J64" s="188">
        <v>0</v>
      </c>
      <c r="K64" s="188">
        <v>10547.86</v>
      </c>
    </row>
    <row r="65" spans="1:11" x14ac:dyDescent="0.25">
      <c r="A65" s="186" t="s">
        <v>274</v>
      </c>
      <c r="B65" s="187" t="s">
        <v>275</v>
      </c>
      <c r="C65" s="188">
        <v>529318.39</v>
      </c>
      <c r="D65" s="188">
        <v>0</v>
      </c>
      <c r="E65" s="188">
        <v>388371.88</v>
      </c>
      <c r="F65" s="188">
        <v>0</v>
      </c>
      <c r="G65" s="188">
        <v>439126.37</v>
      </c>
      <c r="H65" s="188">
        <v>0</v>
      </c>
      <c r="I65" s="188">
        <v>420301.34</v>
      </c>
      <c r="J65" s="188">
        <v>0</v>
      </c>
      <c r="K65" s="188">
        <v>1777117.98</v>
      </c>
    </row>
    <row r="66" spans="1:11" x14ac:dyDescent="0.25">
      <c r="A66" s="186" t="s">
        <v>276</v>
      </c>
      <c r="B66" s="187" t="s">
        <v>264</v>
      </c>
      <c r="C66" s="188">
        <v>317591.03000000003</v>
      </c>
      <c r="D66" s="188">
        <v>0</v>
      </c>
      <c r="E66" s="188">
        <v>233023.13</v>
      </c>
      <c r="F66" s="188">
        <v>0</v>
      </c>
      <c r="G66" s="188">
        <v>263475.82</v>
      </c>
      <c r="H66" s="188">
        <v>0</v>
      </c>
      <c r="I66" s="188">
        <v>252180.8</v>
      </c>
      <c r="J66" s="188">
        <v>0</v>
      </c>
      <c r="K66" s="188">
        <v>1066270.78</v>
      </c>
    </row>
    <row r="67" spans="1:11" x14ac:dyDescent="0.25">
      <c r="A67" s="186" t="s">
        <v>277</v>
      </c>
      <c r="B67" s="187" t="s">
        <v>266</v>
      </c>
      <c r="C67" s="188">
        <v>132329.60000000001</v>
      </c>
      <c r="D67" s="188">
        <v>0</v>
      </c>
      <c r="E67" s="188">
        <v>97092.97</v>
      </c>
      <c r="F67" s="188">
        <v>0</v>
      </c>
      <c r="G67" s="188">
        <v>109781.59</v>
      </c>
      <c r="H67" s="188">
        <v>0</v>
      </c>
      <c r="I67" s="188">
        <v>105075.34</v>
      </c>
      <c r="J67" s="188">
        <v>0</v>
      </c>
      <c r="K67" s="188">
        <v>444279.5</v>
      </c>
    </row>
    <row r="68" spans="1:11" x14ac:dyDescent="0.25">
      <c r="A68" s="186" t="s">
        <v>278</v>
      </c>
      <c r="B68" s="187" t="s">
        <v>268</v>
      </c>
      <c r="C68" s="188">
        <v>79397.759999999995</v>
      </c>
      <c r="D68" s="188">
        <v>0</v>
      </c>
      <c r="E68" s="188">
        <v>58255.78</v>
      </c>
      <c r="F68" s="188">
        <v>0</v>
      </c>
      <c r="G68" s="188">
        <v>65868.960000000006</v>
      </c>
      <c r="H68" s="188">
        <v>0</v>
      </c>
      <c r="I68" s="188">
        <v>63045.2</v>
      </c>
      <c r="J68" s="188">
        <v>0</v>
      </c>
      <c r="K68" s="188">
        <v>266567.7</v>
      </c>
    </row>
    <row r="69" spans="1:11" x14ac:dyDescent="0.25">
      <c r="A69" s="186" t="s">
        <v>279</v>
      </c>
      <c r="B69" s="187" t="s">
        <v>280</v>
      </c>
      <c r="C69" s="188">
        <v>196966.93</v>
      </c>
      <c r="D69" s="188">
        <v>0</v>
      </c>
      <c r="E69" s="188">
        <v>144518.73000000001</v>
      </c>
      <c r="F69" s="188">
        <v>0</v>
      </c>
      <c r="G69" s="188">
        <v>163405.20000000001</v>
      </c>
      <c r="H69" s="188">
        <v>0</v>
      </c>
      <c r="I69" s="188">
        <v>156400.13</v>
      </c>
      <c r="J69" s="188">
        <v>0</v>
      </c>
      <c r="K69" s="188">
        <v>661290.99</v>
      </c>
    </row>
    <row r="70" spans="1:11" x14ac:dyDescent="0.25">
      <c r="A70" s="186" t="s">
        <v>281</v>
      </c>
      <c r="B70" s="187" t="s">
        <v>264</v>
      </c>
      <c r="C70" s="188">
        <v>118180.16</v>
      </c>
      <c r="D70" s="188">
        <v>0</v>
      </c>
      <c r="E70" s="188">
        <v>86711.24</v>
      </c>
      <c r="F70" s="188">
        <v>0</v>
      </c>
      <c r="G70" s="188">
        <v>98043.12</v>
      </c>
      <c r="H70" s="188">
        <v>0</v>
      </c>
      <c r="I70" s="188">
        <v>93840.08</v>
      </c>
      <c r="J70" s="188">
        <v>0</v>
      </c>
      <c r="K70" s="188">
        <v>396774.6</v>
      </c>
    </row>
    <row r="71" spans="1:11" x14ac:dyDescent="0.25">
      <c r="A71" s="186" t="s">
        <v>282</v>
      </c>
      <c r="B71" s="187" t="s">
        <v>266</v>
      </c>
      <c r="C71" s="188">
        <v>49241.73</v>
      </c>
      <c r="D71" s="188">
        <v>0</v>
      </c>
      <c r="E71" s="188">
        <v>36129.68</v>
      </c>
      <c r="F71" s="188">
        <v>0</v>
      </c>
      <c r="G71" s="188">
        <v>40851.300000000003</v>
      </c>
      <c r="H71" s="188">
        <v>0</v>
      </c>
      <c r="I71" s="188">
        <v>39100.03</v>
      </c>
      <c r="J71" s="188">
        <v>0</v>
      </c>
      <c r="K71" s="188">
        <v>165322.74</v>
      </c>
    </row>
    <row r="72" spans="1:11" x14ac:dyDescent="0.25">
      <c r="A72" s="186" t="s">
        <v>283</v>
      </c>
      <c r="B72" s="187" t="s">
        <v>268</v>
      </c>
      <c r="C72" s="188">
        <v>29545.040000000001</v>
      </c>
      <c r="D72" s="188">
        <v>0</v>
      </c>
      <c r="E72" s="188">
        <v>21677.81</v>
      </c>
      <c r="F72" s="188">
        <v>0</v>
      </c>
      <c r="G72" s="188">
        <v>24510.78</v>
      </c>
      <c r="H72" s="188">
        <v>0</v>
      </c>
      <c r="I72" s="188">
        <v>23460.02</v>
      </c>
      <c r="J72" s="188">
        <v>0</v>
      </c>
      <c r="K72" s="188">
        <v>99193.65</v>
      </c>
    </row>
    <row r="73" spans="1:11" x14ac:dyDescent="0.25">
      <c r="A73" s="186" t="s">
        <v>284</v>
      </c>
      <c r="B73" s="187" t="s">
        <v>285</v>
      </c>
      <c r="C73" s="188">
        <v>1378438.67</v>
      </c>
      <c r="D73" s="188">
        <v>0</v>
      </c>
      <c r="E73" s="188">
        <v>1061942.49</v>
      </c>
      <c r="F73" s="188">
        <v>0</v>
      </c>
      <c r="G73" s="188">
        <v>1185180.6299999999</v>
      </c>
      <c r="H73" s="188">
        <v>0</v>
      </c>
      <c r="I73" s="188">
        <v>1234151.6200000001</v>
      </c>
      <c r="J73" s="188">
        <v>0</v>
      </c>
      <c r="K73" s="188">
        <v>4859713.41</v>
      </c>
    </row>
    <row r="74" spans="1:11" x14ac:dyDescent="0.25">
      <c r="A74" s="186" t="s">
        <v>286</v>
      </c>
      <c r="B74" s="187" t="s">
        <v>287</v>
      </c>
      <c r="C74" s="188">
        <v>1356054.97</v>
      </c>
      <c r="D74" s="188">
        <v>0</v>
      </c>
      <c r="E74" s="188">
        <v>1044698.18</v>
      </c>
      <c r="F74" s="188">
        <v>0</v>
      </c>
      <c r="G74" s="188">
        <v>1165935.1299999999</v>
      </c>
      <c r="H74" s="188">
        <v>0</v>
      </c>
      <c r="I74" s="188">
        <v>1214110.9099999999</v>
      </c>
      <c r="J74" s="188">
        <v>0</v>
      </c>
      <c r="K74" s="188">
        <v>4780799.1900000004</v>
      </c>
    </row>
    <row r="75" spans="1:11" x14ac:dyDescent="0.25">
      <c r="A75" s="186" t="s">
        <v>288</v>
      </c>
      <c r="B75" s="187" t="s">
        <v>289</v>
      </c>
      <c r="C75" s="188">
        <v>813632.98</v>
      </c>
      <c r="D75" s="188">
        <v>0</v>
      </c>
      <c r="E75" s="188">
        <v>626819.34</v>
      </c>
      <c r="F75" s="188">
        <v>0</v>
      </c>
      <c r="G75" s="188">
        <v>699561.08</v>
      </c>
      <c r="H75" s="188">
        <v>0</v>
      </c>
      <c r="I75" s="188">
        <v>728466.54</v>
      </c>
      <c r="J75" s="188">
        <v>0</v>
      </c>
      <c r="K75" s="188">
        <v>2868479.94</v>
      </c>
    </row>
    <row r="76" spans="1:11" x14ac:dyDescent="0.25">
      <c r="A76" s="186" t="s">
        <v>290</v>
      </c>
      <c r="B76" s="187" t="s">
        <v>291</v>
      </c>
      <c r="C76" s="188">
        <v>339013.74</v>
      </c>
      <c r="D76" s="188">
        <v>0</v>
      </c>
      <c r="E76" s="188">
        <v>261174</v>
      </c>
      <c r="F76" s="188">
        <v>0</v>
      </c>
      <c r="G76" s="188">
        <v>291483.78000000003</v>
      </c>
      <c r="H76" s="188">
        <v>0</v>
      </c>
      <c r="I76" s="188">
        <v>303527.73</v>
      </c>
      <c r="J76" s="188">
        <v>0</v>
      </c>
      <c r="K76" s="188">
        <v>1195199.25</v>
      </c>
    </row>
    <row r="78" spans="1:11" x14ac:dyDescent="0.25">
      <c r="A78" s="290" t="s">
        <v>192</v>
      </c>
      <c r="B78" s="290"/>
      <c r="C78" s="290" t="s">
        <v>193</v>
      </c>
      <c r="D78" s="290"/>
      <c r="E78" s="290"/>
      <c r="G78" s="183" t="s">
        <v>194</v>
      </c>
      <c r="I78" s="314" t="s">
        <v>195</v>
      </c>
      <c r="J78" s="314"/>
    </row>
    <row r="79" spans="1:11" x14ac:dyDescent="0.25">
      <c r="A79" s="307" t="s">
        <v>196</v>
      </c>
      <c r="B79" s="307"/>
      <c r="C79" s="307"/>
      <c r="D79" s="307"/>
      <c r="E79" s="307"/>
      <c r="F79" s="307"/>
      <c r="G79" s="307"/>
      <c r="H79" s="307"/>
    </row>
    <row r="80" spans="1:11" ht="15.75" x14ac:dyDescent="0.25">
      <c r="A80" s="308" t="s">
        <v>197</v>
      </c>
      <c r="B80" s="308"/>
      <c r="C80" s="310" t="s">
        <v>198</v>
      </c>
      <c r="D80" s="310"/>
      <c r="E80" s="310"/>
      <c r="F80" s="310"/>
      <c r="G80" s="310"/>
      <c r="H80" s="310"/>
      <c r="I80" s="310"/>
      <c r="J80" s="310"/>
      <c r="K80" s="310"/>
    </row>
    <row r="81" spans="1:11" ht="15.75" x14ac:dyDescent="0.25">
      <c r="A81" s="309"/>
      <c r="B81" s="309"/>
      <c r="C81" s="311">
        <v>2022</v>
      </c>
      <c r="D81" s="311"/>
      <c r="E81" s="311">
        <v>2023</v>
      </c>
      <c r="F81" s="311"/>
      <c r="G81" s="311">
        <v>2024</v>
      </c>
      <c r="H81" s="311"/>
      <c r="I81" s="311">
        <v>2025</v>
      </c>
      <c r="J81" s="311"/>
      <c r="K81" s="312" t="s">
        <v>90</v>
      </c>
    </row>
    <row r="82" spans="1:11" ht="15.75" x14ac:dyDescent="0.25">
      <c r="A82" s="308"/>
      <c r="B82" s="308"/>
      <c r="C82" s="184" t="s">
        <v>199</v>
      </c>
      <c r="D82" s="184" t="s">
        <v>200</v>
      </c>
      <c r="E82" s="184" t="s">
        <v>199</v>
      </c>
      <c r="F82" s="184" t="s">
        <v>200</v>
      </c>
      <c r="G82" s="184" t="s">
        <v>199</v>
      </c>
      <c r="H82" s="184" t="s">
        <v>200</v>
      </c>
      <c r="I82" s="184" t="s">
        <v>199</v>
      </c>
      <c r="J82" s="184" t="s">
        <v>200</v>
      </c>
      <c r="K82" s="313"/>
    </row>
    <row r="83" spans="1:11" x14ac:dyDescent="0.25">
      <c r="A83" s="186" t="s">
        <v>292</v>
      </c>
      <c r="B83" s="187" t="s">
        <v>293</v>
      </c>
      <c r="C83" s="188">
        <v>203408.25</v>
      </c>
      <c r="D83" s="188">
        <v>0</v>
      </c>
      <c r="E83" s="188">
        <v>156704.84</v>
      </c>
      <c r="F83" s="188">
        <v>0</v>
      </c>
      <c r="G83" s="188">
        <v>174890.27</v>
      </c>
      <c r="H83" s="188">
        <v>0</v>
      </c>
      <c r="I83" s="188">
        <v>182116.64</v>
      </c>
      <c r="J83" s="188">
        <v>0</v>
      </c>
      <c r="K83" s="188">
        <v>717120</v>
      </c>
    </row>
    <row r="84" spans="1:11" x14ac:dyDescent="0.25">
      <c r="A84" s="186" t="s">
        <v>294</v>
      </c>
      <c r="B84" s="187" t="s">
        <v>295</v>
      </c>
      <c r="C84" s="188">
        <v>57.21</v>
      </c>
      <c r="D84" s="188">
        <v>0</v>
      </c>
      <c r="E84" s="188">
        <v>44.08</v>
      </c>
      <c r="F84" s="188">
        <v>0</v>
      </c>
      <c r="G84" s="188">
        <v>49.2</v>
      </c>
      <c r="H84" s="188">
        <v>0</v>
      </c>
      <c r="I84" s="188">
        <v>51.23</v>
      </c>
      <c r="J84" s="188">
        <v>0</v>
      </c>
      <c r="K84" s="188">
        <v>201.72</v>
      </c>
    </row>
    <row r="85" spans="1:11" x14ac:dyDescent="0.25">
      <c r="A85" s="186" t="s">
        <v>296</v>
      </c>
      <c r="B85" s="187" t="s">
        <v>289</v>
      </c>
      <c r="C85" s="188">
        <v>34.33</v>
      </c>
      <c r="D85" s="188">
        <v>0</v>
      </c>
      <c r="E85" s="188">
        <v>26.45</v>
      </c>
      <c r="F85" s="188">
        <v>0</v>
      </c>
      <c r="G85" s="188">
        <v>29.52</v>
      </c>
      <c r="H85" s="188">
        <v>0</v>
      </c>
      <c r="I85" s="188">
        <v>30.74</v>
      </c>
      <c r="J85" s="188">
        <v>0</v>
      </c>
      <c r="K85" s="188">
        <v>121.04</v>
      </c>
    </row>
    <row r="86" spans="1:11" x14ac:dyDescent="0.25">
      <c r="A86" s="186" t="s">
        <v>297</v>
      </c>
      <c r="B86" s="187" t="s">
        <v>291</v>
      </c>
      <c r="C86" s="188">
        <v>14.3</v>
      </c>
      <c r="D86" s="188">
        <v>0</v>
      </c>
      <c r="E86" s="188">
        <v>11.02</v>
      </c>
      <c r="F86" s="188">
        <v>0</v>
      </c>
      <c r="G86" s="188">
        <v>12.3</v>
      </c>
      <c r="H86" s="188">
        <v>0</v>
      </c>
      <c r="I86" s="188">
        <v>12.81</v>
      </c>
      <c r="J86" s="188">
        <v>0</v>
      </c>
      <c r="K86" s="188">
        <v>50.43</v>
      </c>
    </row>
    <row r="87" spans="1:11" x14ac:dyDescent="0.25">
      <c r="A87" s="186" t="s">
        <v>298</v>
      </c>
      <c r="B87" s="187" t="s">
        <v>293</v>
      </c>
      <c r="C87" s="188">
        <v>8.58</v>
      </c>
      <c r="D87" s="188">
        <v>0</v>
      </c>
      <c r="E87" s="188">
        <v>6.61</v>
      </c>
      <c r="F87" s="188">
        <v>0</v>
      </c>
      <c r="G87" s="188">
        <v>7.38</v>
      </c>
      <c r="H87" s="188">
        <v>0</v>
      </c>
      <c r="I87" s="188">
        <v>7.68</v>
      </c>
      <c r="J87" s="188">
        <v>0</v>
      </c>
      <c r="K87" s="188">
        <v>30.25</v>
      </c>
    </row>
    <row r="88" spans="1:11" x14ac:dyDescent="0.25">
      <c r="A88" s="186" t="s">
        <v>299</v>
      </c>
      <c r="B88" s="187" t="s">
        <v>300</v>
      </c>
      <c r="C88" s="188">
        <v>22072.65</v>
      </c>
      <c r="D88" s="188">
        <v>0</v>
      </c>
      <c r="E88" s="188">
        <v>17004.68</v>
      </c>
      <c r="F88" s="188">
        <v>0</v>
      </c>
      <c r="G88" s="188">
        <v>18978.05</v>
      </c>
      <c r="H88" s="188">
        <v>0</v>
      </c>
      <c r="I88" s="188">
        <v>19762.21</v>
      </c>
      <c r="J88" s="188">
        <v>0</v>
      </c>
      <c r="K88" s="188">
        <v>77817.59</v>
      </c>
    </row>
    <row r="89" spans="1:11" x14ac:dyDescent="0.25">
      <c r="A89" s="186" t="s">
        <v>301</v>
      </c>
      <c r="B89" s="187" t="s">
        <v>289</v>
      </c>
      <c r="C89" s="188">
        <v>13243.59</v>
      </c>
      <c r="D89" s="188">
        <v>0</v>
      </c>
      <c r="E89" s="188">
        <v>10202.81</v>
      </c>
      <c r="F89" s="188">
        <v>0</v>
      </c>
      <c r="G89" s="188">
        <v>11386.83</v>
      </c>
      <c r="H89" s="188">
        <v>0</v>
      </c>
      <c r="I89" s="188">
        <v>11857.33</v>
      </c>
      <c r="J89" s="188">
        <v>0</v>
      </c>
      <c r="K89" s="188">
        <v>46690.559999999998</v>
      </c>
    </row>
    <row r="90" spans="1:11" x14ac:dyDescent="0.25">
      <c r="A90" s="186" t="s">
        <v>302</v>
      </c>
      <c r="B90" s="187" t="s">
        <v>291</v>
      </c>
      <c r="C90" s="188">
        <v>5518.16</v>
      </c>
      <c r="D90" s="188">
        <v>0</v>
      </c>
      <c r="E90" s="188">
        <v>4251.17</v>
      </c>
      <c r="F90" s="188">
        <v>0</v>
      </c>
      <c r="G90" s="188">
        <v>4744.51</v>
      </c>
      <c r="H90" s="188">
        <v>0</v>
      </c>
      <c r="I90" s="188">
        <v>4940.55</v>
      </c>
      <c r="J90" s="188">
        <v>0</v>
      </c>
      <c r="K90" s="188">
        <v>19454.39</v>
      </c>
    </row>
    <row r="91" spans="1:11" x14ac:dyDescent="0.25">
      <c r="A91" s="186" t="s">
        <v>303</v>
      </c>
      <c r="B91" s="187" t="s">
        <v>293</v>
      </c>
      <c r="C91" s="188">
        <v>3310.9</v>
      </c>
      <c r="D91" s="188">
        <v>0</v>
      </c>
      <c r="E91" s="188">
        <v>2550.6999999999998</v>
      </c>
      <c r="F91" s="188">
        <v>0</v>
      </c>
      <c r="G91" s="188">
        <v>2846.71</v>
      </c>
      <c r="H91" s="188">
        <v>0</v>
      </c>
      <c r="I91" s="188">
        <v>2964.33</v>
      </c>
      <c r="J91" s="188">
        <v>0</v>
      </c>
      <c r="K91" s="188">
        <v>11672.64</v>
      </c>
    </row>
    <row r="92" spans="1:11" x14ac:dyDescent="0.25">
      <c r="A92" s="186" t="s">
        <v>304</v>
      </c>
      <c r="B92" s="187" t="s">
        <v>305</v>
      </c>
      <c r="C92" s="188">
        <v>253.84</v>
      </c>
      <c r="D92" s="188">
        <v>0</v>
      </c>
      <c r="E92" s="188">
        <v>195.55</v>
      </c>
      <c r="F92" s="188">
        <v>0</v>
      </c>
      <c r="G92" s="188">
        <v>218.25</v>
      </c>
      <c r="H92" s="188">
        <v>0</v>
      </c>
      <c r="I92" s="188">
        <v>227.27</v>
      </c>
      <c r="J92" s="188">
        <v>0</v>
      </c>
      <c r="K92" s="188">
        <v>894.91</v>
      </c>
    </row>
    <row r="93" spans="1:11" x14ac:dyDescent="0.25">
      <c r="A93" s="186" t="s">
        <v>306</v>
      </c>
      <c r="B93" s="187" t="s">
        <v>289</v>
      </c>
      <c r="C93" s="188">
        <v>152.30000000000001</v>
      </c>
      <c r="D93" s="188">
        <v>0</v>
      </c>
      <c r="E93" s="188">
        <v>117.33</v>
      </c>
      <c r="F93" s="188">
        <v>0</v>
      </c>
      <c r="G93" s="188">
        <v>130.94999999999999</v>
      </c>
      <c r="H93" s="188">
        <v>0</v>
      </c>
      <c r="I93" s="188">
        <v>136.36000000000001</v>
      </c>
      <c r="J93" s="188">
        <v>0</v>
      </c>
      <c r="K93" s="188">
        <v>536.94000000000005</v>
      </c>
    </row>
    <row r="94" spans="1:11" x14ac:dyDescent="0.25">
      <c r="A94" s="186" t="s">
        <v>307</v>
      </c>
      <c r="B94" s="187" t="s">
        <v>291</v>
      </c>
      <c r="C94" s="188">
        <v>63.46</v>
      </c>
      <c r="D94" s="188">
        <v>0</v>
      </c>
      <c r="E94" s="188">
        <v>48.89</v>
      </c>
      <c r="F94" s="188">
        <v>0</v>
      </c>
      <c r="G94" s="188">
        <v>54.56</v>
      </c>
      <c r="H94" s="188">
        <v>0</v>
      </c>
      <c r="I94" s="188">
        <v>56.82</v>
      </c>
      <c r="J94" s="188">
        <v>0</v>
      </c>
      <c r="K94" s="188">
        <v>223.73</v>
      </c>
    </row>
    <row r="95" spans="1:11" x14ac:dyDescent="0.25">
      <c r="A95" s="186" t="s">
        <v>308</v>
      </c>
      <c r="B95" s="187" t="s">
        <v>293</v>
      </c>
      <c r="C95" s="188">
        <v>38.08</v>
      </c>
      <c r="D95" s="188">
        <v>0</v>
      </c>
      <c r="E95" s="188">
        <v>29.33</v>
      </c>
      <c r="F95" s="188">
        <v>0</v>
      </c>
      <c r="G95" s="188">
        <v>32.74</v>
      </c>
      <c r="H95" s="188">
        <v>0</v>
      </c>
      <c r="I95" s="188">
        <v>34.090000000000003</v>
      </c>
      <c r="J95" s="188">
        <v>0</v>
      </c>
      <c r="K95" s="188">
        <v>134.24</v>
      </c>
    </row>
    <row r="96" spans="1:11" x14ac:dyDescent="0.25">
      <c r="A96" s="186" t="s">
        <v>309</v>
      </c>
      <c r="B96" s="187" t="s">
        <v>310</v>
      </c>
      <c r="C96" s="188">
        <v>5816885.9100000001</v>
      </c>
      <c r="D96" s="188">
        <v>0</v>
      </c>
      <c r="E96" s="188">
        <v>4580982.67</v>
      </c>
      <c r="F96" s="188">
        <v>0</v>
      </c>
      <c r="G96" s="188">
        <v>5225115.62</v>
      </c>
      <c r="H96" s="188">
        <v>0</v>
      </c>
      <c r="I96" s="188">
        <v>5095544.0199999996</v>
      </c>
      <c r="J96" s="188">
        <v>0</v>
      </c>
      <c r="K96" s="188">
        <v>20718528.219999999</v>
      </c>
    </row>
    <row r="97" spans="1:11" x14ac:dyDescent="0.25">
      <c r="A97" s="186" t="s">
        <v>311</v>
      </c>
      <c r="B97" s="187" t="s">
        <v>312</v>
      </c>
      <c r="C97" s="188">
        <v>5816885.9100000001</v>
      </c>
      <c r="D97" s="188">
        <v>0</v>
      </c>
      <c r="E97" s="188">
        <v>4580982.67</v>
      </c>
      <c r="F97" s="188">
        <v>0</v>
      </c>
      <c r="G97" s="188">
        <v>5225115.62</v>
      </c>
      <c r="H97" s="188">
        <v>0</v>
      </c>
      <c r="I97" s="188">
        <v>5095544.0199999996</v>
      </c>
      <c r="J97" s="188">
        <v>0</v>
      </c>
      <c r="K97" s="188">
        <v>20718528.219999999</v>
      </c>
    </row>
    <row r="98" spans="1:11" x14ac:dyDescent="0.25">
      <c r="A98" s="186" t="s">
        <v>313</v>
      </c>
      <c r="B98" s="187" t="s">
        <v>314</v>
      </c>
      <c r="C98" s="188">
        <v>5691399.04</v>
      </c>
      <c r="D98" s="188">
        <v>0</v>
      </c>
      <c r="E98" s="188">
        <v>4482187.05</v>
      </c>
      <c r="F98" s="188">
        <v>0</v>
      </c>
      <c r="G98" s="188">
        <v>5112428.32</v>
      </c>
      <c r="H98" s="188">
        <v>0</v>
      </c>
      <c r="I98" s="188">
        <v>4985651.12</v>
      </c>
      <c r="J98" s="188">
        <v>0</v>
      </c>
      <c r="K98" s="188">
        <v>20271665.530000001</v>
      </c>
    </row>
    <row r="99" spans="1:11" x14ac:dyDescent="0.25">
      <c r="A99" s="186" t="s">
        <v>315</v>
      </c>
      <c r="B99" s="187" t="s">
        <v>316</v>
      </c>
      <c r="C99" s="188">
        <v>3414839.42</v>
      </c>
      <c r="D99" s="188">
        <v>0</v>
      </c>
      <c r="E99" s="188">
        <v>2689312.23</v>
      </c>
      <c r="F99" s="188">
        <v>0</v>
      </c>
      <c r="G99" s="188">
        <v>3067456.99</v>
      </c>
      <c r="H99" s="188">
        <v>0</v>
      </c>
      <c r="I99" s="188">
        <v>2991390.67</v>
      </c>
      <c r="J99" s="188">
        <v>0</v>
      </c>
      <c r="K99" s="188">
        <v>12162999.310000001</v>
      </c>
    </row>
    <row r="100" spans="1:11" x14ac:dyDescent="0.25">
      <c r="A100" s="186" t="s">
        <v>317</v>
      </c>
      <c r="B100" s="187" t="s">
        <v>318</v>
      </c>
      <c r="C100" s="188">
        <v>1422849.76</v>
      </c>
      <c r="D100" s="188">
        <v>0</v>
      </c>
      <c r="E100" s="188">
        <v>1120546.76</v>
      </c>
      <c r="F100" s="188">
        <v>0</v>
      </c>
      <c r="G100" s="188">
        <v>1278107.08</v>
      </c>
      <c r="H100" s="188">
        <v>0</v>
      </c>
      <c r="I100" s="188">
        <v>1246412.78</v>
      </c>
      <c r="J100" s="188">
        <v>0</v>
      </c>
      <c r="K100" s="188">
        <v>5067916.38</v>
      </c>
    </row>
    <row r="101" spans="1:11" x14ac:dyDescent="0.25">
      <c r="A101" s="186" t="s">
        <v>319</v>
      </c>
      <c r="B101" s="187" t="s">
        <v>320</v>
      </c>
      <c r="C101" s="188">
        <v>853709.86</v>
      </c>
      <c r="D101" s="188">
        <v>0</v>
      </c>
      <c r="E101" s="188">
        <v>672328.06</v>
      </c>
      <c r="F101" s="188">
        <v>0</v>
      </c>
      <c r="G101" s="188">
        <v>766864.25</v>
      </c>
      <c r="H101" s="188">
        <v>0</v>
      </c>
      <c r="I101" s="188">
        <v>747847.67</v>
      </c>
      <c r="J101" s="188">
        <v>0</v>
      </c>
      <c r="K101" s="188">
        <v>3040749.84</v>
      </c>
    </row>
    <row r="102" spans="1:11" x14ac:dyDescent="0.25">
      <c r="A102" s="186" t="s">
        <v>321</v>
      </c>
      <c r="B102" s="187" t="s">
        <v>322</v>
      </c>
      <c r="C102" s="188">
        <v>38916.92</v>
      </c>
      <c r="D102" s="188">
        <v>0</v>
      </c>
      <c r="E102" s="188">
        <v>30648.51</v>
      </c>
      <c r="F102" s="188">
        <v>0</v>
      </c>
      <c r="G102" s="188">
        <v>34958</v>
      </c>
      <c r="H102" s="188">
        <v>0</v>
      </c>
      <c r="I102" s="188">
        <v>34091.120000000003</v>
      </c>
      <c r="J102" s="188">
        <v>0</v>
      </c>
      <c r="K102" s="188">
        <v>138614.54999999999</v>
      </c>
    </row>
    <row r="103" spans="1:11" x14ac:dyDescent="0.25">
      <c r="A103" s="186" t="s">
        <v>323</v>
      </c>
      <c r="B103" s="187" t="s">
        <v>316</v>
      </c>
      <c r="C103" s="188">
        <v>23350.15</v>
      </c>
      <c r="D103" s="188">
        <v>0</v>
      </c>
      <c r="E103" s="188">
        <v>18389.099999999999</v>
      </c>
      <c r="F103" s="188">
        <v>0</v>
      </c>
      <c r="G103" s="188">
        <v>20974.799999999999</v>
      </c>
      <c r="H103" s="188">
        <v>0</v>
      </c>
      <c r="I103" s="188">
        <v>20454.669999999998</v>
      </c>
      <c r="J103" s="188">
        <v>0</v>
      </c>
      <c r="K103" s="188">
        <v>83168.72</v>
      </c>
    </row>
    <row r="104" spans="1:11" x14ac:dyDescent="0.25">
      <c r="A104" s="186" t="s">
        <v>324</v>
      </c>
      <c r="B104" s="187" t="s">
        <v>318</v>
      </c>
      <c r="C104" s="188">
        <v>9729.23</v>
      </c>
      <c r="D104" s="188">
        <v>0</v>
      </c>
      <c r="E104" s="188">
        <v>7662.13</v>
      </c>
      <c r="F104" s="188">
        <v>0</v>
      </c>
      <c r="G104" s="188">
        <v>8739.5</v>
      </c>
      <c r="H104" s="188">
        <v>0</v>
      </c>
      <c r="I104" s="188">
        <v>8522.7800000000007</v>
      </c>
      <c r="J104" s="188">
        <v>0</v>
      </c>
      <c r="K104" s="188">
        <v>34653.64</v>
      </c>
    </row>
    <row r="105" spans="1:11" x14ac:dyDescent="0.25">
      <c r="A105" s="186" t="s">
        <v>325</v>
      </c>
      <c r="B105" s="187" t="s">
        <v>320</v>
      </c>
      <c r="C105" s="188">
        <v>5837.54</v>
      </c>
      <c r="D105" s="188">
        <v>0</v>
      </c>
      <c r="E105" s="188">
        <v>4597.28</v>
      </c>
      <c r="F105" s="188">
        <v>0</v>
      </c>
      <c r="G105" s="188">
        <v>5243.7</v>
      </c>
      <c r="H105" s="188">
        <v>0</v>
      </c>
      <c r="I105" s="188">
        <v>5113.67</v>
      </c>
      <c r="J105" s="188">
        <v>0</v>
      </c>
      <c r="K105" s="188">
        <v>20792.189999999999</v>
      </c>
    </row>
    <row r="106" spans="1:11" x14ac:dyDescent="0.25">
      <c r="A106" s="186" t="s">
        <v>326</v>
      </c>
      <c r="B106" s="187" t="s">
        <v>327</v>
      </c>
      <c r="C106" s="188">
        <v>67079.210000000006</v>
      </c>
      <c r="D106" s="188">
        <v>0</v>
      </c>
      <c r="E106" s="188">
        <v>52827.360000000001</v>
      </c>
      <c r="F106" s="188">
        <v>0</v>
      </c>
      <c r="G106" s="188">
        <v>60255.43</v>
      </c>
      <c r="H106" s="188">
        <v>0</v>
      </c>
      <c r="I106" s="188">
        <v>58761.23</v>
      </c>
      <c r="J106" s="188">
        <v>0</v>
      </c>
      <c r="K106" s="188">
        <v>238923.23</v>
      </c>
    </row>
    <row r="107" spans="1:11" x14ac:dyDescent="0.25">
      <c r="A107" s="186" t="s">
        <v>328</v>
      </c>
      <c r="B107" s="187" t="s">
        <v>316</v>
      </c>
      <c r="C107" s="188">
        <v>40247.53</v>
      </c>
      <c r="D107" s="188">
        <v>0</v>
      </c>
      <c r="E107" s="188">
        <v>31696.42</v>
      </c>
      <c r="F107" s="188">
        <v>0</v>
      </c>
      <c r="G107" s="188">
        <v>36153.26</v>
      </c>
      <c r="H107" s="188">
        <v>0</v>
      </c>
      <c r="I107" s="188">
        <v>35256.74</v>
      </c>
      <c r="J107" s="188">
        <v>0</v>
      </c>
      <c r="K107" s="188">
        <v>143353.95000000001</v>
      </c>
    </row>
    <row r="108" spans="1:11" x14ac:dyDescent="0.25">
      <c r="A108" s="186" t="s">
        <v>329</v>
      </c>
      <c r="B108" s="187" t="s">
        <v>318</v>
      </c>
      <c r="C108" s="188">
        <v>16769.8</v>
      </c>
      <c r="D108" s="188">
        <v>0</v>
      </c>
      <c r="E108" s="188">
        <v>13206.84</v>
      </c>
      <c r="F108" s="188">
        <v>0</v>
      </c>
      <c r="G108" s="188">
        <v>15063.86</v>
      </c>
      <c r="H108" s="188">
        <v>0</v>
      </c>
      <c r="I108" s="188">
        <v>14690.31</v>
      </c>
      <c r="J108" s="188">
        <v>0</v>
      </c>
      <c r="K108" s="188">
        <v>59730.81</v>
      </c>
    </row>
    <row r="109" spans="1:11" x14ac:dyDescent="0.25">
      <c r="A109" s="186" t="s">
        <v>330</v>
      </c>
      <c r="B109" s="187" t="s">
        <v>320</v>
      </c>
      <c r="C109" s="188">
        <v>10061.879999999999</v>
      </c>
      <c r="D109" s="188">
        <v>0</v>
      </c>
      <c r="E109" s="188">
        <v>7924.1</v>
      </c>
      <c r="F109" s="188">
        <v>0</v>
      </c>
      <c r="G109" s="188">
        <v>9038.31</v>
      </c>
      <c r="H109" s="188">
        <v>0</v>
      </c>
      <c r="I109" s="188">
        <v>8814.18</v>
      </c>
      <c r="J109" s="188">
        <v>0</v>
      </c>
      <c r="K109" s="188">
        <v>35838.47</v>
      </c>
    </row>
    <row r="110" spans="1:11" x14ac:dyDescent="0.25">
      <c r="A110" s="186" t="s">
        <v>331</v>
      </c>
      <c r="B110" s="187" t="s">
        <v>332</v>
      </c>
      <c r="C110" s="188">
        <v>19490.740000000002</v>
      </c>
      <c r="D110" s="188">
        <v>0</v>
      </c>
      <c r="E110" s="188">
        <v>15319.75</v>
      </c>
      <c r="F110" s="188">
        <v>0</v>
      </c>
      <c r="G110" s="188">
        <v>17473.87</v>
      </c>
      <c r="H110" s="188">
        <v>0</v>
      </c>
      <c r="I110" s="188">
        <v>17040.55</v>
      </c>
      <c r="J110" s="188">
        <v>0</v>
      </c>
      <c r="K110" s="188">
        <v>69324.91</v>
      </c>
    </row>
    <row r="111" spans="1:11" x14ac:dyDescent="0.25">
      <c r="A111" s="186" t="s">
        <v>333</v>
      </c>
      <c r="B111" s="187" t="s">
        <v>316</v>
      </c>
      <c r="C111" s="188">
        <v>10149.26</v>
      </c>
      <c r="D111" s="188">
        <v>0</v>
      </c>
      <c r="E111" s="188">
        <v>7992.91</v>
      </c>
      <c r="F111" s="188">
        <v>0</v>
      </c>
      <c r="G111" s="188">
        <v>9116.7999999999993</v>
      </c>
      <c r="H111" s="188">
        <v>0</v>
      </c>
      <c r="I111" s="188">
        <v>8890.7199999999993</v>
      </c>
      <c r="J111" s="188">
        <v>0</v>
      </c>
      <c r="K111" s="188">
        <v>36149.69</v>
      </c>
    </row>
    <row r="113" spans="1:11" x14ac:dyDescent="0.25">
      <c r="A113" s="290" t="s">
        <v>192</v>
      </c>
      <c r="B113" s="290"/>
      <c r="C113" s="290" t="s">
        <v>193</v>
      </c>
      <c r="D113" s="290"/>
      <c r="E113" s="290"/>
      <c r="G113" s="183" t="s">
        <v>194</v>
      </c>
      <c r="I113" s="314" t="s">
        <v>195</v>
      </c>
      <c r="J113" s="314"/>
    </row>
    <row r="114" spans="1:11" x14ac:dyDescent="0.25">
      <c r="A114" s="307" t="s">
        <v>196</v>
      </c>
      <c r="B114" s="307"/>
      <c r="C114" s="307"/>
      <c r="D114" s="307"/>
      <c r="E114" s="307"/>
      <c r="F114" s="307"/>
      <c r="G114" s="307"/>
      <c r="H114" s="307"/>
    </row>
    <row r="115" spans="1:11" ht="15.75" x14ac:dyDescent="0.25">
      <c r="A115" s="308" t="s">
        <v>197</v>
      </c>
      <c r="B115" s="308"/>
      <c r="C115" s="310" t="s">
        <v>198</v>
      </c>
      <c r="D115" s="310"/>
      <c r="E115" s="310"/>
      <c r="F115" s="310"/>
      <c r="G115" s="310"/>
      <c r="H115" s="310"/>
      <c r="I115" s="310"/>
      <c r="J115" s="310"/>
      <c r="K115" s="310"/>
    </row>
    <row r="116" spans="1:11" ht="15.75" x14ac:dyDescent="0.25">
      <c r="A116" s="309"/>
      <c r="B116" s="309"/>
      <c r="C116" s="311">
        <v>2022</v>
      </c>
      <c r="D116" s="311"/>
      <c r="E116" s="311">
        <v>2023</v>
      </c>
      <c r="F116" s="311"/>
      <c r="G116" s="311">
        <v>2024</v>
      </c>
      <c r="H116" s="311"/>
      <c r="I116" s="311">
        <v>2025</v>
      </c>
      <c r="J116" s="311"/>
      <c r="K116" s="312" t="s">
        <v>90</v>
      </c>
    </row>
    <row r="117" spans="1:11" ht="15.75" x14ac:dyDescent="0.25">
      <c r="A117" s="308"/>
      <c r="B117" s="308"/>
      <c r="C117" s="184" t="s">
        <v>199</v>
      </c>
      <c r="D117" s="184" t="s">
        <v>200</v>
      </c>
      <c r="E117" s="184" t="s">
        <v>199</v>
      </c>
      <c r="F117" s="184" t="s">
        <v>200</v>
      </c>
      <c r="G117" s="184" t="s">
        <v>199</v>
      </c>
      <c r="H117" s="184" t="s">
        <v>200</v>
      </c>
      <c r="I117" s="184" t="s">
        <v>199</v>
      </c>
      <c r="J117" s="184" t="s">
        <v>200</v>
      </c>
      <c r="K117" s="313"/>
    </row>
    <row r="118" spans="1:11" x14ac:dyDescent="0.25">
      <c r="A118" s="186" t="s">
        <v>334</v>
      </c>
      <c r="B118" s="187" t="s">
        <v>318</v>
      </c>
      <c r="C118" s="188">
        <v>4228.8599999999997</v>
      </c>
      <c r="D118" s="188">
        <v>0</v>
      </c>
      <c r="E118" s="188">
        <v>3330.38</v>
      </c>
      <c r="F118" s="188">
        <v>0</v>
      </c>
      <c r="G118" s="188">
        <v>3798.67</v>
      </c>
      <c r="H118" s="188">
        <v>0</v>
      </c>
      <c r="I118" s="188">
        <v>3704.47</v>
      </c>
      <c r="J118" s="188">
        <v>0</v>
      </c>
      <c r="K118" s="188">
        <v>15062.38</v>
      </c>
    </row>
    <row r="119" spans="1:11" x14ac:dyDescent="0.25">
      <c r="A119" s="186" t="s">
        <v>335</v>
      </c>
      <c r="B119" s="187" t="s">
        <v>320</v>
      </c>
      <c r="C119" s="188">
        <v>5112.62</v>
      </c>
      <c r="D119" s="188">
        <v>0</v>
      </c>
      <c r="E119" s="188">
        <v>3996.46</v>
      </c>
      <c r="F119" s="188">
        <v>0</v>
      </c>
      <c r="G119" s="188">
        <v>4558.3999999999996</v>
      </c>
      <c r="H119" s="188">
        <v>0</v>
      </c>
      <c r="I119" s="188">
        <v>4445.3599999999997</v>
      </c>
      <c r="J119" s="188">
        <v>0</v>
      </c>
      <c r="K119" s="188">
        <v>18112.84</v>
      </c>
    </row>
    <row r="120" spans="1:11" x14ac:dyDescent="0.25">
      <c r="A120" s="186" t="s">
        <v>677</v>
      </c>
      <c r="B120" s="187" t="s">
        <v>678</v>
      </c>
      <c r="C120" s="188">
        <v>1585433.43</v>
      </c>
      <c r="D120" s="188">
        <v>0</v>
      </c>
      <c r="E120" s="188">
        <v>1226090.1599999999</v>
      </c>
      <c r="F120" s="188">
        <v>0</v>
      </c>
      <c r="G120" s="188">
        <v>1359202.57</v>
      </c>
      <c r="H120" s="188">
        <v>0</v>
      </c>
      <c r="I120" s="188">
        <v>1374520.29</v>
      </c>
      <c r="J120" s="188">
        <v>0</v>
      </c>
      <c r="K120" s="188">
        <v>5545246.4500000002</v>
      </c>
    </row>
    <row r="121" spans="1:11" x14ac:dyDescent="0.25">
      <c r="A121" s="186" t="s">
        <v>679</v>
      </c>
      <c r="B121" s="187" t="s">
        <v>680</v>
      </c>
      <c r="C121" s="188">
        <v>1585433.43</v>
      </c>
      <c r="D121" s="188">
        <v>0</v>
      </c>
      <c r="E121" s="188">
        <v>1226090.1599999999</v>
      </c>
      <c r="F121" s="188">
        <v>0</v>
      </c>
      <c r="G121" s="188">
        <v>1359202.57</v>
      </c>
      <c r="H121" s="188">
        <v>0</v>
      </c>
      <c r="I121" s="188">
        <v>1374520.29</v>
      </c>
      <c r="J121" s="188">
        <v>0</v>
      </c>
      <c r="K121" s="188">
        <v>5545246.4500000002</v>
      </c>
    </row>
    <row r="122" spans="1:11" x14ac:dyDescent="0.25">
      <c r="A122" s="186" t="s">
        <v>681</v>
      </c>
      <c r="B122" s="187" t="s">
        <v>682</v>
      </c>
      <c r="C122" s="188">
        <v>1508361.82</v>
      </c>
      <c r="D122" s="188">
        <v>0</v>
      </c>
      <c r="E122" s="188">
        <v>1166487.07</v>
      </c>
      <c r="F122" s="188">
        <v>0</v>
      </c>
      <c r="G122" s="188">
        <v>1293128.58</v>
      </c>
      <c r="H122" s="188">
        <v>0</v>
      </c>
      <c r="I122" s="188">
        <v>1307701.6599999999</v>
      </c>
      <c r="J122" s="188">
        <v>0</v>
      </c>
      <c r="K122" s="188">
        <v>5275679.13</v>
      </c>
    </row>
    <row r="123" spans="1:11" x14ac:dyDescent="0.25">
      <c r="A123" s="186" t="s">
        <v>683</v>
      </c>
      <c r="B123" s="187" t="s">
        <v>684</v>
      </c>
      <c r="C123" s="188">
        <v>299123.96000000002</v>
      </c>
      <c r="D123" s="188">
        <v>0</v>
      </c>
      <c r="E123" s="188">
        <v>231326.63</v>
      </c>
      <c r="F123" s="188">
        <v>0</v>
      </c>
      <c r="G123" s="188">
        <v>256440.95999999999</v>
      </c>
      <c r="H123" s="188">
        <v>0</v>
      </c>
      <c r="I123" s="188">
        <v>259330.95</v>
      </c>
      <c r="J123" s="188">
        <v>0</v>
      </c>
      <c r="K123" s="188">
        <v>1046222.5</v>
      </c>
    </row>
    <row r="124" spans="1:11" x14ac:dyDescent="0.25">
      <c r="A124" s="186" t="s">
        <v>685</v>
      </c>
      <c r="B124" s="187" t="s">
        <v>686</v>
      </c>
      <c r="C124" s="188">
        <v>276329.28000000003</v>
      </c>
      <c r="D124" s="188">
        <v>0</v>
      </c>
      <c r="E124" s="188">
        <v>213698.42</v>
      </c>
      <c r="F124" s="188">
        <v>0</v>
      </c>
      <c r="G124" s="188">
        <v>236898.92</v>
      </c>
      <c r="H124" s="188">
        <v>0</v>
      </c>
      <c r="I124" s="188">
        <v>239568.69</v>
      </c>
      <c r="J124" s="188">
        <v>0</v>
      </c>
      <c r="K124" s="188">
        <v>966495.31</v>
      </c>
    </row>
    <row r="125" spans="1:11" x14ac:dyDescent="0.25">
      <c r="A125" s="186" t="s">
        <v>687</v>
      </c>
      <c r="B125" s="187" t="s">
        <v>688</v>
      </c>
      <c r="C125" s="188">
        <v>124804.75</v>
      </c>
      <c r="D125" s="188">
        <v>0</v>
      </c>
      <c r="E125" s="188">
        <v>96517.38</v>
      </c>
      <c r="F125" s="188">
        <v>0</v>
      </c>
      <c r="G125" s="188">
        <v>106995.94</v>
      </c>
      <c r="H125" s="188">
        <v>0</v>
      </c>
      <c r="I125" s="188">
        <v>108201.74</v>
      </c>
      <c r="J125" s="188">
        <v>0</v>
      </c>
      <c r="K125" s="188">
        <v>436519.81</v>
      </c>
    </row>
    <row r="126" spans="1:11" x14ac:dyDescent="0.25">
      <c r="A126" s="186" t="s">
        <v>1024</v>
      </c>
      <c r="B126" s="187" t="s">
        <v>1025</v>
      </c>
      <c r="C126" s="188">
        <v>1962.55</v>
      </c>
      <c r="D126" s="188">
        <v>0</v>
      </c>
      <c r="E126" s="188">
        <v>1517.73</v>
      </c>
      <c r="F126" s="188">
        <v>0</v>
      </c>
      <c r="G126" s="188">
        <v>1682.5</v>
      </c>
      <c r="H126" s="188">
        <v>0</v>
      </c>
      <c r="I126" s="188">
        <v>1701.47</v>
      </c>
      <c r="J126" s="188">
        <v>0</v>
      </c>
      <c r="K126" s="188">
        <v>6864.25</v>
      </c>
    </row>
    <row r="127" spans="1:11" x14ac:dyDescent="0.25">
      <c r="A127" s="186" t="s">
        <v>689</v>
      </c>
      <c r="B127" s="187" t="s">
        <v>690</v>
      </c>
      <c r="C127" s="188">
        <v>1148</v>
      </c>
      <c r="D127" s="188">
        <v>0</v>
      </c>
      <c r="E127" s="188">
        <v>887.81</v>
      </c>
      <c r="F127" s="188">
        <v>0</v>
      </c>
      <c r="G127" s="188">
        <v>984.19</v>
      </c>
      <c r="H127" s="188">
        <v>0</v>
      </c>
      <c r="I127" s="188">
        <v>995.28</v>
      </c>
      <c r="J127" s="188">
        <v>0</v>
      </c>
      <c r="K127" s="188">
        <v>4015.28</v>
      </c>
    </row>
    <row r="128" spans="1:11" x14ac:dyDescent="0.25">
      <c r="A128" s="186" t="s">
        <v>691</v>
      </c>
      <c r="B128" s="187" t="s">
        <v>688</v>
      </c>
      <c r="C128" s="188">
        <v>1047.31</v>
      </c>
      <c r="D128" s="188">
        <v>0</v>
      </c>
      <c r="E128" s="188">
        <v>809.93</v>
      </c>
      <c r="F128" s="188">
        <v>0</v>
      </c>
      <c r="G128" s="188">
        <v>897.86</v>
      </c>
      <c r="H128" s="188">
        <v>0</v>
      </c>
      <c r="I128" s="188">
        <v>907.98</v>
      </c>
      <c r="J128" s="188">
        <v>0</v>
      </c>
      <c r="K128" s="188">
        <v>3663.08</v>
      </c>
    </row>
    <row r="129" spans="1:11" x14ac:dyDescent="0.25">
      <c r="A129" s="186" t="s">
        <v>1026</v>
      </c>
      <c r="B129" s="187" t="s">
        <v>1027</v>
      </c>
      <c r="C129" s="188">
        <v>96.65</v>
      </c>
      <c r="D129" s="188">
        <v>0</v>
      </c>
      <c r="E129" s="188">
        <v>74.75</v>
      </c>
      <c r="F129" s="188">
        <v>0</v>
      </c>
      <c r="G129" s="188">
        <v>82.86</v>
      </c>
      <c r="H129" s="188">
        <v>0</v>
      </c>
      <c r="I129" s="188">
        <v>83.8</v>
      </c>
      <c r="J129" s="188">
        <v>0</v>
      </c>
      <c r="K129" s="188">
        <v>338.06</v>
      </c>
    </row>
    <row r="130" spans="1:11" x14ac:dyDescent="0.25">
      <c r="A130" s="186" t="s">
        <v>692</v>
      </c>
      <c r="B130" s="187" t="s">
        <v>693</v>
      </c>
      <c r="C130" s="188">
        <v>4.04</v>
      </c>
      <c r="D130" s="188">
        <v>0</v>
      </c>
      <c r="E130" s="188">
        <v>3.13</v>
      </c>
      <c r="F130" s="188">
        <v>0</v>
      </c>
      <c r="G130" s="188">
        <v>3.47</v>
      </c>
      <c r="H130" s="188">
        <v>0</v>
      </c>
      <c r="I130" s="188">
        <v>3.5</v>
      </c>
      <c r="J130" s="188">
        <v>0</v>
      </c>
      <c r="K130" s="188">
        <v>14.14</v>
      </c>
    </row>
    <row r="131" spans="1:11" x14ac:dyDescent="0.25">
      <c r="A131" s="186" t="s">
        <v>694</v>
      </c>
      <c r="B131" s="187" t="s">
        <v>695</v>
      </c>
      <c r="C131" s="188">
        <v>16885.12</v>
      </c>
      <c r="D131" s="188">
        <v>0</v>
      </c>
      <c r="E131" s="188">
        <v>13058.06</v>
      </c>
      <c r="F131" s="188">
        <v>0</v>
      </c>
      <c r="G131" s="188">
        <v>14475.73</v>
      </c>
      <c r="H131" s="188">
        <v>0</v>
      </c>
      <c r="I131" s="188">
        <v>14638.86</v>
      </c>
      <c r="J131" s="188">
        <v>0</v>
      </c>
      <c r="K131" s="188">
        <v>59057.77</v>
      </c>
    </row>
    <row r="132" spans="1:11" x14ac:dyDescent="0.25">
      <c r="A132" s="186" t="s">
        <v>696</v>
      </c>
      <c r="B132" s="187" t="s">
        <v>688</v>
      </c>
      <c r="C132" s="188">
        <v>11882.7</v>
      </c>
      <c r="D132" s="188">
        <v>0</v>
      </c>
      <c r="E132" s="188">
        <v>9189.4500000000007</v>
      </c>
      <c r="F132" s="188">
        <v>0</v>
      </c>
      <c r="G132" s="188">
        <v>10187.120000000001</v>
      </c>
      <c r="H132" s="188">
        <v>0</v>
      </c>
      <c r="I132" s="188">
        <v>10301.92</v>
      </c>
      <c r="J132" s="188">
        <v>0</v>
      </c>
      <c r="K132" s="188">
        <v>41561.19</v>
      </c>
    </row>
    <row r="133" spans="1:11" x14ac:dyDescent="0.25">
      <c r="A133" s="186" t="s">
        <v>1028</v>
      </c>
      <c r="B133" s="187" t="s">
        <v>1027</v>
      </c>
      <c r="C133" s="188">
        <v>5002.42</v>
      </c>
      <c r="D133" s="188">
        <v>0</v>
      </c>
      <c r="E133" s="188">
        <v>3868.61</v>
      </c>
      <c r="F133" s="188">
        <v>0</v>
      </c>
      <c r="G133" s="188">
        <v>4288.6099999999997</v>
      </c>
      <c r="H133" s="188">
        <v>0</v>
      </c>
      <c r="I133" s="188">
        <v>4336.9399999999996</v>
      </c>
      <c r="J133" s="188">
        <v>0</v>
      </c>
      <c r="K133" s="188">
        <v>17496.580000000002</v>
      </c>
    </row>
    <row r="134" spans="1:11" x14ac:dyDescent="0.25">
      <c r="A134" s="186" t="s">
        <v>697</v>
      </c>
      <c r="B134" s="187" t="s">
        <v>698</v>
      </c>
      <c r="C134" s="188">
        <v>4761.5600000000004</v>
      </c>
      <c r="D134" s="188">
        <v>0</v>
      </c>
      <c r="E134" s="188">
        <v>3682.34</v>
      </c>
      <c r="F134" s="188">
        <v>0</v>
      </c>
      <c r="G134" s="188">
        <v>4082.12</v>
      </c>
      <c r="H134" s="188">
        <v>0</v>
      </c>
      <c r="I134" s="188">
        <v>4128.12</v>
      </c>
      <c r="J134" s="188">
        <v>0</v>
      </c>
      <c r="K134" s="188">
        <v>16654.14</v>
      </c>
    </row>
    <row r="135" spans="1:11" x14ac:dyDescent="0.25">
      <c r="A135" s="186" t="s">
        <v>699</v>
      </c>
      <c r="B135" s="187" t="s">
        <v>688</v>
      </c>
      <c r="C135" s="188">
        <v>2611.34</v>
      </c>
      <c r="D135" s="188">
        <v>0</v>
      </c>
      <c r="E135" s="188">
        <v>2019.47</v>
      </c>
      <c r="F135" s="188">
        <v>0</v>
      </c>
      <c r="G135" s="188">
        <v>2238.7199999999998</v>
      </c>
      <c r="H135" s="188">
        <v>0</v>
      </c>
      <c r="I135" s="188">
        <v>2263.9499999999998</v>
      </c>
      <c r="J135" s="188">
        <v>0</v>
      </c>
      <c r="K135" s="188">
        <v>9133.48</v>
      </c>
    </row>
    <row r="136" spans="1:11" x14ac:dyDescent="0.25">
      <c r="A136" s="186" t="s">
        <v>1029</v>
      </c>
      <c r="B136" s="187" t="s">
        <v>1027</v>
      </c>
      <c r="C136" s="188">
        <v>2150.2199999999998</v>
      </c>
      <c r="D136" s="188">
        <v>0</v>
      </c>
      <c r="E136" s="188">
        <v>1662.87</v>
      </c>
      <c r="F136" s="188">
        <v>0</v>
      </c>
      <c r="G136" s="188">
        <v>1843.4</v>
      </c>
      <c r="H136" s="188">
        <v>0</v>
      </c>
      <c r="I136" s="188">
        <v>1864.17</v>
      </c>
      <c r="J136" s="188">
        <v>0</v>
      </c>
      <c r="K136" s="188">
        <v>7520.66</v>
      </c>
    </row>
    <row r="137" spans="1:11" x14ac:dyDescent="0.25">
      <c r="A137" s="186" t="s">
        <v>700</v>
      </c>
      <c r="B137" s="187" t="s">
        <v>701</v>
      </c>
      <c r="C137" s="188">
        <v>1209237.8600000001</v>
      </c>
      <c r="D137" s="188">
        <v>0</v>
      </c>
      <c r="E137" s="188">
        <v>935160.44</v>
      </c>
      <c r="F137" s="188">
        <v>0</v>
      </c>
      <c r="G137" s="188">
        <v>1036687.62</v>
      </c>
      <c r="H137" s="188">
        <v>0</v>
      </c>
      <c r="I137" s="188">
        <v>1048370.71</v>
      </c>
      <c r="J137" s="188">
        <v>0</v>
      </c>
      <c r="K137" s="188">
        <v>4229456.63</v>
      </c>
    </row>
    <row r="138" spans="1:11" x14ac:dyDescent="0.25">
      <c r="A138" s="186" t="s">
        <v>702</v>
      </c>
      <c r="B138" s="187" t="s">
        <v>703</v>
      </c>
      <c r="C138" s="188">
        <v>1161012.79</v>
      </c>
      <c r="D138" s="188">
        <v>0</v>
      </c>
      <c r="E138" s="188">
        <v>897865.73</v>
      </c>
      <c r="F138" s="188">
        <v>0</v>
      </c>
      <c r="G138" s="188">
        <v>995343.96</v>
      </c>
      <c r="H138" s="188">
        <v>0</v>
      </c>
      <c r="I138" s="188">
        <v>1006561.11</v>
      </c>
      <c r="J138" s="188">
        <v>0</v>
      </c>
      <c r="K138" s="188">
        <v>4060783.59</v>
      </c>
    </row>
    <row r="139" spans="1:11" x14ac:dyDescent="0.25">
      <c r="A139" s="186" t="s">
        <v>704</v>
      </c>
      <c r="B139" s="187" t="s">
        <v>705</v>
      </c>
      <c r="C139" s="188">
        <v>368357.67</v>
      </c>
      <c r="D139" s="188">
        <v>0</v>
      </c>
      <c r="E139" s="188">
        <v>284868.28999999998</v>
      </c>
      <c r="F139" s="188">
        <v>0</v>
      </c>
      <c r="G139" s="188">
        <v>315795.46999999997</v>
      </c>
      <c r="H139" s="188">
        <v>0</v>
      </c>
      <c r="I139" s="188">
        <v>319354.37</v>
      </c>
      <c r="J139" s="188">
        <v>0</v>
      </c>
      <c r="K139" s="188">
        <v>1288375.8</v>
      </c>
    </row>
    <row r="140" spans="1:11" x14ac:dyDescent="0.25">
      <c r="A140" s="186" t="s">
        <v>1030</v>
      </c>
      <c r="B140" s="187" t="s">
        <v>1031</v>
      </c>
      <c r="C140" s="188">
        <v>12334.32</v>
      </c>
      <c r="D140" s="188">
        <v>0</v>
      </c>
      <c r="E140" s="188">
        <v>9538.7099999999991</v>
      </c>
      <c r="F140" s="188">
        <v>0</v>
      </c>
      <c r="G140" s="188">
        <v>10574.3</v>
      </c>
      <c r="H140" s="188">
        <v>0</v>
      </c>
      <c r="I140" s="188">
        <v>10693.47</v>
      </c>
      <c r="J140" s="188">
        <v>0</v>
      </c>
      <c r="K140" s="188">
        <v>43140.800000000003</v>
      </c>
    </row>
    <row r="141" spans="1:11" x14ac:dyDescent="0.25">
      <c r="A141" s="186" t="s">
        <v>1032</v>
      </c>
      <c r="B141" s="187" t="s">
        <v>1033</v>
      </c>
      <c r="C141" s="188">
        <v>674.11</v>
      </c>
      <c r="D141" s="188">
        <v>0</v>
      </c>
      <c r="E141" s="188">
        <v>521.32000000000005</v>
      </c>
      <c r="F141" s="188">
        <v>0</v>
      </c>
      <c r="G141" s="188">
        <v>577.91999999999996</v>
      </c>
      <c r="H141" s="188">
        <v>0</v>
      </c>
      <c r="I141" s="188">
        <v>584.42999999999995</v>
      </c>
      <c r="J141" s="188">
        <v>0</v>
      </c>
      <c r="K141" s="188">
        <v>2357.7800000000002</v>
      </c>
    </row>
    <row r="142" spans="1:11" x14ac:dyDescent="0.25">
      <c r="A142" s="186" t="s">
        <v>1034</v>
      </c>
      <c r="B142" s="187" t="s">
        <v>1035</v>
      </c>
      <c r="C142" s="188">
        <v>93418.65</v>
      </c>
      <c r="D142" s="188">
        <v>0</v>
      </c>
      <c r="E142" s="188">
        <v>72245.03</v>
      </c>
      <c r="F142" s="188">
        <v>0</v>
      </c>
      <c r="G142" s="188">
        <v>80088.42</v>
      </c>
      <c r="H142" s="188">
        <v>0</v>
      </c>
      <c r="I142" s="188">
        <v>80990.990000000005</v>
      </c>
      <c r="J142" s="188">
        <v>0</v>
      </c>
      <c r="K142" s="188">
        <v>326743.09000000003</v>
      </c>
    </row>
    <row r="143" spans="1:11" x14ac:dyDescent="0.25">
      <c r="A143" s="186" t="s">
        <v>1036</v>
      </c>
      <c r="B143" s="187" t="s">
        <v>1027</v>
      </c>
      <c r="C143" s="188">
        <v>66196.990000000005</v>
      </c>
      <c r="D143" s="188">
        <v>0</v>
      </c>
      <c r="E143" s="188">
        <v>51193.24</v>
      </c>
      <c r="F143" s="188">
        <v>0</v>
      </c>
      <c r="G143" s="188">
        <v>56751.12</v>
      </c>
      <c r="H143" s="188">
        <v>0</v>
      </c>
      <c r="I143" s="188">
        <v>57390.68</v>
      </c>
      <c r="J143" s="188">
        <v>0</v>
      </c>
      <c r="K143" s="188">
        <v>231532.03</v>
      </c>
    </row>
    <row r="144" spans="1:11" x14ac:dyDescent="0.25">
      <c r="A144" s="186" t="s">
        <v>1037</v>
      </c>
      <c r="B144" s="187" t="s">
        <v>693</v>
      </c>
      <c r="C144" s="188">
        <v>15412.12</v>
      </c>
      <c r="D144" s="188">
        <v>0</v>
      </c>
      <c r="E144" s="188">
        <v>11918.92</v>
      </c>
      <c r="F144" s="188">
        <v>0</v>
      </c>
      <c r="G144" s="188">
        <v>13212.92</v>
      </c>
      <c r="H144" s="188">
        <v>0</v>
      </c>
      <c r="I144" s="188">
        <v>13361.82</v>
      </c>
      <c r="J144" s="188">
        <v>0</v>
      </c>
      <c r="K144" s="188">
        <v>53905.78</v>
      </c>
    </row>
    <row r="145" spans="1:11" x14ac:dyDescent="0.25">
      <c r="A145" s="186" t="s">
        <v>706</v>
      </c>
      <c r="B145" s="187" t="s">
        <v>707</v>
      </c>
      <c r="C145" s="188">
        <v>8194.68</v>
      </c>
      <c r="D145" s="188">
        <v>0</v>
      </c>
      <c r="E145" s="188">
        <v>6337.33</v>
      </c>
      <c r="F145" s="188">
        <v>0</v>
      </c>
      <c r="G145" s="188">
        <v>7025.35</v>
      </c>
      <c r="H145" s="188">
        <v>0</v>
      </c>
      <c r="I145" s="188">
        <v>7104.53</v>
      </c>
      <c r="J145" s="188">
        <v>0</v>
      </c>
      <c r="K145" s="188">
        <v>28661.89</v>
      </c>
    </row>
    <row r="146" spans="1:11" x14ac:dyDescent="0.25">
      <c r="A146" s="186" t="s">
        <v>708</v>
      </c>
      <c r="B146" s="187" t="s">
        <v>705</v>
      </c>
      <c r="C146" s="188">
        <v>8193.2000000000007</v>
      </c>
      <c r="D146" s="188">
        <v>0</v>
      </c>
      <c r="E146" s="188">
        <v>6336.18</v>
      </c>
      <c r="F146" s="188">
        <v>0</v>
      </c>
      <c r="G146" s="188">
        <v>7024.08</v>
      </c>
      <c r="H146" s="188">
        <v>0</v>
      </c>
      <c r="I146" s="188">
        <v>7103.24</v>
      </c>
      <c r="J146" s="188">
        <v>0</v>
      </c>
      <c r="K146" s="188">
        <v>28656.7</v>
      </c>
    </row>
    <row r="148" spans="1:11" x14ac:dyDescent="0.25">
      <c r="A148" s="290" t="s">
        <v>192</v>
      </c>
      <c r="B148" s="290"/>
      <c r="C148" s="290" t="s">
        <v>193</v>
      </c>
      <c r="D148" s="290"/>
      <c r="E148" s="290"/>
      <c r="G148" s="183" t="s">
        <v>194</v>
      </c>
      <c r="I148" s="314" t="s">
        <v>195</v>
      </c>
      <c r="J148" s="314"/>
    </row>
    <row r="149" spans="1:11" x14ac:dyDescent="0.25">
      <c r="A149" s="307" t="s">
        <v>196</v>
      </c>
      <c r="B149" s="307"/>
      <c r="C149" s="307"/>
      <c r="D149" s="307"/>
      <c r="E149" s="307"/>
      <c r="F149" s="307"/>
      <c r="G149" s="307"/>
      <c r="H149" s="307"/>
    </row>
    <row r="150" spans="1:11" ht="15.75" x14ac:dyDescent="0.25">
      <c r="A150" s="308" t="s">
        <v>197</v>
      </c>
      <c r="B150" s="308"/>
      <c r="C150" s="310" t="s">
        <v>198</v>
      </c>
      <c r="D150" s="310"/>
      <c r="E150" s="310"/>
      <c r="F150" s="310"/>
      <c r="G150" s="310"/>
      <c r="H150" s="310"/>
      <c r="I150" s="310"/>
      <c r="J150" s="310"/>
      <c r="K150" s="310"/>
    </row>
    <row r="151" spans="1:11" ht="15.75" x14ac:dyDescent="0.25">
      <c r="A151" s="309"/>
      <c r="B151" s="309"/>
      <c r="C151" s="311">
        <v>2022</v>
      </c>
      <c r="D151" s="311"/>
      <c r="E151" s="311">
        <v>2023</v>
      </c>
      <c r="F151" s="311"/>
      <c r="G151" s="311">
        <v>2024</v>
      </c>
      <c r="H151" s="311"/>
      <c r="I151" s="311">
        <v>2025</v>
      </c>
      <c r="J151" s="311"/>
      <c r="K151" s="312" t="s">
        <v>90</v>
      </c>
    </row>
    <row r="152" spans="1:11" ht="15.75" x14ac:dyDescent="0.25">
      <c r="A152" s="308"/>
      <c r="B152" s="308"/>
      <c r="C152" s="184" t="s">
        <v>199</v>
      </c>
      <c r="D152" s="184" t="s">
        <v>200</v>
      </c>
      <c r="E152" s="184" t="s">
        <v>199</v>
      </c>
      <c r="F152" s="184" t="s">
        <v>200</v>
      </c>
      <c r="G152" s="184" t="s">
        <v>199</v>
      </c>
      <c r="H152" s="184" t="s">
        <v>200</v>
      </c>
      <c r="I152" s="184" t="s">
        <v>199</v>
      </c>
      <c r="J152" s="184" t="s">
        <v>200</v>
      </c>
      <c r="K152" s="313"/>
    </row>
    <row r="153" spans="1:11" x14ac:dyDescent="0.25">
      <c r="A153" s="186" t="s">
        <v>1038</v>
      </c>
      <c r="B153" s="187" t="s">
        <v>1031</v>
      </c>
      <c r="C153" s="188">
        <v>1.48</v>
      </c>
      <c r="D153" s="188">
        <v>0</v>
      </c>
      <c r="E153" s="188">
        <v>1.1499999999999999</v>
      </c>
      <c r="F153" s="188">
        <v>0</v>
      </c>
      <c r="G153" s="188">
        <v>1.27</v>
      </c>
      <c r="H153" s="188">
        <v>0</v>
      </c>
      <c r="I153" s="188">
        <v>1.29</v>
      </c>
      <c r="J153" s="188">
        <v>0</v>
      </c>
      <c r="K153" s="188">
        <v>5.19</v>
      </c>
    </row>
    <row r="154" spans="1:11" x14ac:dyDescent="0.25">
      <c r="A154" s="186" t="s">
        <v>709</v>
      </c>
      <c r="B154" s="187" t="s">
        <v>710</v>
      </c>
      <c r="C154" s="188">
        <v>30948.9</v>
      </c>
      <c r="D154" s="188">
        <v>0</v>
      </c>
      <c r="E154" s="188">
        <v>23934.240000000002</v>
      </c>
      <c r="F154" s="188">
        <v>0</v>
      </c>
      <c r="G154" s="188">
        <v>26532.69</v>
      </c>
      <c r="H154" s="188">
        <v>0</v>
      </c>
      <c r="I154" s="188">
        <v>26831.71</v>
      </c>
      <c r="J154" s="188">
        <v>0</v>
      </c>
      <c r="K154" s="188">
        <v>108247.54</v>
      </c>
    </row>
    <row r="155" spans="1:11" x14ac:dyDescent="0.25">
      <c r="A155" s="186" t="s">
        <v>711</v>
      </c>
      <c r="B155" s="187" t="s">
        <v>705</v>
      </c>
      <c r="C155" s="188">
        <v>30948.9</v>
      </c>
      <c r="D155" s="188">
        <v>0</v>
      </c>
      <c r="E155" s="188">
        <v>23934.240000000002</v>
      </c>
      <c r="F155" s="188">
        <v>0</v>
      </c>
      <c r="G155" s="188">
        <v>26532.69</v>
      </c>
      <c r="H155" s="188">
        <v>0</v>
      </c>
      <c r="I155" s="188">
        <v>26831.71</v>
      </c>
      <c r="J155" s="188">
        <v>0</v>
      </c>
      <c r="K155" s="188">
        <v>108247.54</v>
      </c>
    </row>
    <row r="156" spans="1:11" x14ac:dyDescent="0.25">
      <c r="A156" s="186" t="s">
        <v>712</v>
      </c>
      <c r="B156" s="187" t="s">
        <v>713</v>
      </c>
      <c r="C156" s="188">
        <v>9081.49</v>
      </c>
      <c r="D156" s="188">
        <v>0</v>
      </c>
      <c r="E156" s="188">
        <v>7023.14</v>
      </c>
      <c r="F156" s="188">
        <v>0</v>
      </c>
      <c r="G156" s="188">
        <v>7785.62</v>
      </c>
      <c r="H156" s="188">
        <v>0</v>
      </c>
      <c r="I156" s="188">
        <v>7873.36</v>
      </c>
      <c r="J156" s="188">
        <v>0</v>
      </c>
      <c r="K156" s="188">
        <v>31763.61</v>
      </c>
    </row>
    <row r="157" spans="1:11" x14ac:dyDescent="0.25">
      <c r="A157" s="186" t="s">
        <v>714</v>
      </c>
      <c r="B157" s="187" t="s">
        <v>705</v>
      </c>
      <c r="C157" s="188">
        <v>9081.49</v>
      </c>
      <c r="D157" s="188">
        <v>0</v>
      </c>
      <c r="E157" s="188">
        <v>7023.14</v>
      </c>
      <c r="F157" s="188">
        <v>0</v>
      </c>
      <c r="G157" s="188">
        <v>7785.62</v>
      </c>
      <c r="H157" s="188">
        <v>0</v>
      </c>
      <c r="I157" s="188">
        <v>7873.36</v>
      </c>
      <c r="J157" s="188">
        <v>0</v>
      </c>
      <c r="K157" s="188">
        <v>31763.61</v>
      </c>
    </row>
    <row r="158" spans="1:11" x14ac:dyDescent="0.25">
      <c r="A158" s="186" t="s">
        <v>1039</v>
      </c>
      <c r="B158" s="187" t="s">
        <v>1040</v>
      </c>
      <c r="C158" s="188">
        <v>77071.61</v>
      </c>
      <c r="D158" s="188">
        <v>0</v>
      </c>
      <c r="E158" s="188">
        <v>59603.09</v>
      </c>
      <c r="F158" s="188">
        <v>0</v>
      </c>
      <c r="G158" s="188">
        <v>66073.990000000005</v>
      </c>
      <c r="H158" s="188">
        <v>0</v>
      </c>
      <c r="I158" s="188">
        <v>66818.63</v>
      </c>
      <c r="J158" s="188">
        <v>0</v>
      </c>
      <c r="K158" s="188">
        <v>269567.32</v>
      </c>
    </row>
    <row r="159" spans="1:11" x14ac:dyDescent="0.25">
      <c r="A159" s="186" t="s">
        <v>1041</v>
      </c>
      <c r="B159" s="187" t="s">
        <v>1042</v>
      </c>
      <c r="C159" s="188">
        <v>77071.61</v>
      </c>
      <c r="D159" s="188">
        <v>0</v>
      </c>
      <c r="E159" s="188">
        <v>59603.09</v>
      </c>
      <c r="F159" s="188">
        <v>0</v>
      </c>
      <c r="G159" s="188">
        <v>66073.990000000005</v>
      </c>
      <c r="H159" s="188">
        <v>0</v>
      </c>
      <c r="I159" s="188">
        <v>66818.63</v>
      </c>
      <c r="J159" s="188">
        <v>0</v>
      </c>
      <c r="K159" s="188">
        <v>269567.32</v>
      </c>
    </row>
    <row r="160" spans="1:11" x14ac:dyDescent="0.25">
      <c r="A160" s="186" t="s">
        <v>1043</v>
      </c>
      <c r="B160" s="187" t="s">
        <v>1044</v>
      </c>
      <c r="C160" s="188">
        <v>69899.95</v>
      </c>
      <c r="D160" s="188">
        <v>0</v>
      </c>
      <c r="E160" s="188">
        <v>54056.91</v>
      </c>
      <c r="F160" s="188">
        <v>0</v>
      </c>
      <c r="G160" s="188">
        <v>59925.69</v>
      </c>
      <c r="H160" s="188">
        <v>0</v>
      </c>
      <c r="I160" s="188">
        <v>60601.04</v>
      </c>
      <c r="J160" s="188">
        <v>0</v>
      </c>
      <c r="K160" s="188">
        <v>244483.59</v>
      </c>
    </row>
    <row r="161" spans="1:11" x14ac:dyDescent="0.25">
      <c r="A161" s="186" t="s">
        <v>1045</v>
      </c>
      <c r="B161" s="187" t="s">
        <v>1046</v>
      </c>
      <c r="C161" s="188">
        <v>19557.28</v>
      </c>
      <c r="D161" s="188">
        <v>0</v>
      </c>
      <c r="E161" s="188">
        <v>15124.56</v>
      </c>
      <c r="F161" s="188">
        <v>0</v>
      </c>
      <c r="G161" s="188">
        <v>16766.580000000002</v>
      </c>
      <c r="H161" s="188">
        <v>0</v>
      </c>
      <c r="I161" s="188">
        <v>16955.54</v>
      </c>
      <c r="J161" s="188">
        <v>0</v>
      </c>
      <c r="K161" s="188">
        <v>68403.960000000006</v>
      </c>
    </row>
    <row r="162" spans="1:11" x14ac:dyDescent="0.25">
      <c r="A162" s="186" t="s">
        <v>1047</v>
      </c>
      <c r="B162" s="187" t="s">
        <v>1048</v>
      </c>
      <c r="C162" s="188">
        <v>2076.44</v>
      </c>
      <c r="D162" s="188">
        <v>0</v>
      </c>
      <c r="E162" s="188">
        <v>1605.81</v>
      </c>
      <c r="F162" s="188">
        <v>0</v>
      </c>
      <c r="G162" s="188">
        <v>1780.15</v>
      </c>
      <c r="H162" s="188">
        <v>0</v>
      </c>
      <c r="I162" s="188">
        <v>1800.21</v>
      </c>
      <c r="J162" s="188">
        <v>0</v>
      </c>
      <c r="K162" s="188">
        <v>7262.61</v>
      </c>
    </row>
    <row r="163" spans="1:11" x14ac:dyDescent="0.25">
      <c r="A163" s="186" t="s">
        <v>1049</v>
      </c>
      <c r="B163" s="187" t="s">
        <v>1050</v>
      </c>
      <c r="C163" s="188">
        <v>48265.87</v>
      </c>
      <c r="D163" s="188">
        <v>0</v>
      </c>
      <c r="E163" s="188">
        <v>37326.26</v>
      </c>
      <c r="F163" s="188">
        <v>0</v>
      </c>
      <c r="G163" s="188">
        <v>41378.65</v>
      </c>
      <c r="H163" s="188">
        <v>0</v>
      </c>
      <c r="I163" s="188">
        <v>41844.97</v>
      </c>
      <c r="J163" s="188">
        <v>0</v>
      </c>
      <c r="K163" s="188">
        <v>168815.75</v>
      </c>
    </row>
    <row r="164" spans="1:11" x14ac:dyDescent="0.25">
      <c r="A164" s="186" t="s">
        <v>1051</v>
      </c>
      <c r="B164" s="187" t="s">
        <v>1052</v>
      </c>
      <c r="C164" s="188">
        <v>0.36</v>
      </c>
      <c r="D164" s="188">
        <v>0</v>
      </c>
      <c r="E164" s="188">
        <v>0.28000000000000003</v>
      </c>
      <c r="F164" s="188">
        <v>0</v>
      </c>
      <c r="G164" s="188">
        <v>0.31</v>
      </c>
      <c r="H164" s="188">
        <v>0</v>
      </c>
      <c r="I164" s="188">
        <v>0.32</v>
      </c>
      <c r="J164" s="188">
        <v>0</v>
      </c>
      <c r="K164" s="188">
        <v>1.27</v>
      </c>
    </row>
    <row r="165" spans="1:11" x14ac:dyDescent="0.25">
      <c r="A165" s="186" t="s">
        <v>1053</v>
      </c>
      <c r="B165" s="187" t="s">
        <v>1054</v>
      </c>
      <c r="C165" s="188">
        <v>5898.26</v>
      </c>
      <c r="D165" s="188">
        <v>0</v>
      </c>
      <c r="E165" s="188">
        <v>4561.3999999999996</v>
      </c>
      <c r="F165" s="188">
        <v>0</v>
      </c>
      <c r="G165" s="188">
        <v>5056.6099999999997</v>
      </c>
      <c r="H165" s="188">
        <v>0</v>
      </c>
      <c r="I165" s="188">
        <v>5113.6000000000004</v>
      </c>
      <c r="J165" s="188">
        <v>0</v>
      </c>
      <c r="K165" s="188">
        <v>20629.87</v>
      </c>
    </row>
    <row r="166" spans="1:11" x14ac:dyDescent="0.25">
      <c r="A166" s="186" t="s">
        <v>1055</v>
      </c>
      <c r="B166" s="187" t="s">
        <v>1046</v>
      </c>
      <c r="C166" s="188">
        <v>47.86</v>
      </c>
      <c r="D166" s="188">
        <v>0</v>
      </c>
      <c r="E166" s="188">
        <v>37.01</v>
      </c>
      <c r="F166" s="188">
        <v>0</v>
      </c>
      <c r="G166" s="188">
        <v>41.03</v>
      </c>
      <c r="H166" s="188">
        <v>0</v>
      </c>
      <c r="I166" s="188">
        <v>41.49</v>
      </c>
      <c r="J166" s="188">
        <v>0</v>
      </c>
      <c r="K166" s="188">
        <v>167.39</v>
      </c>
    </row>
    <row r="167" spans="1:11" x14ac:dyDescent="0.25">
      <c r="A167" s="186" t="s">
        <v>1056</v>
      </c>
      <c r="B167" s="187" t="s">
        <v>1050</v>
      </c>
      <c r="C167" s="188">
        <v>5850.4</v>
      </c>
      <c r="D167" s="188">
        <v>0</v>
      </c>
      <c r="E167" s="188">
        <v>4524.3900000000003</v>
      </c>
      <c r="F167" s="188">
        <v>0</v>
      </c>
      <c r="G167" s="188">
        <v>5015.58</v>
      </c>
      <c r="H167" s="188">
        <v>0</v>
      </c>
      <c r="I167" s="188">
        <v>5072.1099999999997</v>
      </c>
      <c r="J167" s="188">
        <v>0</v>
      </c>
      <c r="K167" s="188">
        <v>20462.48</v>
      </c>
    </row>
    <row r="168" spans="1:11" x14ac:dyDescent="0.25">
      <c r="A168" s="186" t="s">
        <v>1057</v>
      </c>
      <c r="B168" s="187" t="s">
        <v>1058</v>
      </c>
      <c r="C168" s="188">
        <v>1152.82</v>
      </c>
      <c r="D168" s="188">
        <v>0</v>
      </c>
      <c r="E168" s="188">
        <v>891.53</v>
      </c>
      <c r="F168" s="188">
        <v>0</v>
      </c>
      <c r="G168" s="188">
        <v>988.32</v>
      </c>
      <c r="H168" s="188">
        <v>0</v>
      </c>
      <c r="I168" s="188">
        <v>999.46</v>
      </c>
      <c r="J168" s="188">
        <v>0</v>
      </c>
      <c r="K168" s="188">
        <v>4032.13</v>
      </c>
    </row>
    <row r="169" spans="1:11" x14ac:dyDescent="0.25">
      <c r="A169" s="186" t="s">
        <v>1059</v>
      </c>
      <c r="B169" s="187" t="s">
        <v>1048</v>
      </c>
      <c r="C169" s="188">
        <v>77.59</v>
      </c>
      <c r="D169" s="188">
        <v>0</v>
      </c>
      <c r="E169" s="188">
        <v>60.01</v>
      </c>
      <c r="F169" s="188">
        <v>0</v>
      </c>
      <c r="G169" s="188">
        <v>66.52</v>
      </c>
      <c r="H169" s="188">
        <v>0</v>
      </c>
      <c r="I169" s="188">
        <v>67.27</v>
      </c>
      <c r="J169" s="188">
        <v>0</v>
      </c>
      <c r="K169" s="188">
        <v>271.39</v>
      </c>
    </row>
    <row r="170" spans="1:11" x14ac:dyDescent="0.25">
      <c r="A170" s="186" t="s">
        <v>1060</v>
      </c>
      <c r="B170" s="187" t="s">
        <v>1050</v>
      </c>
      <c r="C170" s="188">
        <v>1063.75</v>
      </c>
      <c r="D170" s="188">
        <v>0</v>
      </c>
      <c r="E170" s="188">
        <v>822.65</v>
      </c>
      <c r="F170" s="188">
        <v>0</v>
      </c>
      <c r="G170" s="188">
        <v>911.96</v>
      </c>
      <c r="H170" s="188">
        <v>0</v>
      </c>
      <c r="I170" s="188">
        <v>922.24</v>
      </c>
      <c r="J170" s="188">
        <v>0</v>
      </c>
      <c r="K170" s="188">
        <v>3720.6</v>
      </c>
    </row>
    <row r="171" spans="1:11" x14ac:dyDescent="0.25">
      <c r="A171" s="186" t="s">
        <v>1061</v>
      </c>
      <c r="B171" s="187" t="s">
        <v>1052</v>
      </c>
      <c r="C171" s="188">
        <v>11.48</v>
      </c>
      <c r="D171" s="188">
        <v>0</v>
      </c>
      <c r="E171" s="188">
        <v>8.8699999999999992</v>
      </c>
      <c r="F171" s="188">
        <v>0</v>
      </c>
      <c r="G171" s="188">
        <v>9.84</v>
      </c>
      <c r="H171" s="188">
        <v>0</v>
      </c>
      <c r="I171" s="188">
        <v>9.9499999999999993</v>
      </c>
      <c r="J171" s="188">
        <v>0</v>
      </c>
      <c r="K171" s="188">
        <v>40.14</v>
      </c>
    </row>
    <row r="172" spans="1:11" x14ac:dyDescent="0.25">
      <c r="A172" s="186" t="s">
        <v>1062</v>
      </c>
      <c r="B172" s="187" t="s">
        <v>1063</v>
      </c>
      <c r="C172" s="188">
        <v>120.58</v>
      </c>
      <c r="D172" s="188">
        <v>0</v>
      </c>
      <c r="E172" s="188">
        <v>93.25</v>
      </c>
      <c r="F172" s="188">
        <v>0</v>
      </c>
      <c r="G172" s="188">
        <v>103.37</v>
      </c>
      <c r="H172" s="188">
        <v>0</v>
      </c>
      <c r="I172" s="188">
        <v>104.53</v>
      </c>
      <c r="J172" s="188">
        <v>0</v>
      </c>
      <c r="K172" s="188">
        <v>421.73</v>
      </c>
    </row>
    <row r="173" spans="1:11" x14ac:dyDescent="0.25">
      <c r="A173" s="186" t="s">
        <v>1064</v>
      </c>
      <c r="B173" s="187" t="s">
        <v>1048</v>
      </c>
      <c r="C173" s="188">
        <v>2.33</v>
      </c>
      <c r="D173" s="188">
        <v>0</v>
      </c>
      <c r="E173" s="188">
        <v>1.8</v>
      </c>
      <c r="F173" s="188">
        <v>0</v>
      </c>
      <c r="G173" s="188">
        <v>2</v>
      </c>
      <c r="H173" s="188">
        <v>0</v>
      </c>
      <c r="I173" s="188">
        <v>2.02</v>
      </c>
      <c r="J173" s="188">
        <v>0</v>
      </c>
      <c r="K173" s="188">
        <v>8.15</v>
      </c>
    </row>
    <row r="174" spans="1:11" x14ac:dyDescent="0.25">
      <c r="A174" s="186" t="s">
        <v>1065</v>
      </c>
      <c r="B174" s="187" t="s">
        <v>1050</v>
      </c>
      <c r="C174" s="188">
        <v>94.25</v>
      </c>
      <c r="D174" s="188">
        <v>0</v>
      </c>
      <c r="E174" s="188">
        <v>72.89</v>
      </c>
      <c r="F174" s="188">
        <v>0</v>
      </c>
      <c r="G174" s="188">
        <v>80.8</v>
      </c>
      <c r="H174" s="188">
        <v>0</v>
      </c>
      <c r="I174" s="188">
        <v>81.709999999999994</v>
      </c>
      <c r="J174" s="188">
        <v>0</v>
      </c>
      <c r="K174" s="188">
        <v>329.65</v>
      </c>
    </row>
    <row r="175" spans="1:11" x14ac:dyDescent="0.25">
      <c r="A175" s="186" t="s">
        <v>1066</v>
      </c>
      <c r="B175" s="187" t="s">
        <v>1052</v>
      </c>
      <c r="C175" s="188">
        <v>24</v>
      </c>
      <c r="D175" s="188">
        <v>0</v>
      </c>
      <c r="E175" s="188">
        <v>18.559999999999999</v>
      </c>
      <c r="F175" s="188">
        <v>0</v>
      </c>
      <c r="G175" s="188">
        <v>20.57</v>
      </c>
      <c r="H175" s="188">
        <v>0</v>
      </c>
      <c r="I175" s="188">
        <v>20.8</v>
      </c>
      <c r="J175" s="188">
        <v>0</v>
      </c>
      <c r="K175" s="188">
        <v>83.93</v>
      </c>
    </row>
    <row r="176" spans="1:11" x14ac:dyDescent="0.25">
      <c r="A176" s="186" t="s">
        <v>715</v>
      </c>
      <c r="B176" s="187" t="s">
        <v>716</v>
      </c>
      <c r="C176" s="188">
        <v>1148.81</v>
      </c>
      <c r="D176" s="188">
        <v>0</v>
      </c>
      <c r="E176" s="188">
        <v>975.26</v>
      </c>
      <c r="F176" s="188">
        <v>0</v>
      </c>
      <c r="G176" s="188">
        <v>697.72</v>
      </c>
      <c r="H176" s="188">
        <v>0</v>
      </c>
      <c r="I176" s="188">
        <v>757.1</v>
      </c>
      <c r="J176" s="188">
        <v>0</v>
      </c>
      <c r="K176" s="188">
        <v>3578.89</v>
      </c>
    </row>
    <row r="177" spans="1:11" x14ac:dyDescent="0.25">
      <c r="A177" s="186" t="s">
        <v>717</v>
      </c>
      <c r="B177" s="187" t="s">
        <v>718</v>
      </c>
      <c r="C177" s="188">
        <v>1148.81</v>
      </c>
      <c r="D177" s="188">
        <v>0</v>
      </c>
      <c r="E177" s="188">
        <v>975.26</v>
      </c>
      <c r="F177" s="188">
        <v>0</v>
      </c>
      <c r="G177" s="188">
        <v>697.72</v>
      </c>
      <c r="H177" s="188">
        <v>0</v>
      </c>
      <c r="I177" s="188">
        <v>757.1</v>
      </c>
      <c r="J177" s="188">
        <v>0</v>
      </c>
      <c r="K177" s="188">
        <v>3578.89</v>
      </c>
    </row>
    <row r="178" spans="1:11" x14ac:dyDescent="0.25">
      <c r="A178" s="186" t="s">
        <v>719</v>
      </c>
      <c r="B178" s="187" t="s">
        <v>720</v>
      </c>
      <c r="C178" s="188">
        <v>1148.81</v>
      </c>
      <c r="D178" s="188">
        <v>0</v>
      </c>
      <c r="E178" s="188">
        <v>975.26</v>
      </c>
      <c r="F178" s="188">
        <v>0</v>
      </c>
      <c r="G178" s="188">
        <v>697.72</v>
      </c>
      <c r="H178" s="188">
        <v>0</v>
      </c>
      <c r="I178" s="188">
        <v>757.1</v>
      </c>
      <c r="J178" s="188">
        <v>0</v>
      </c>
      <c r="K178" s="188">
        <v>3578.89</v>
      </c>
    </row>
    <row r="179" spans="1:11" x14ac:dyDescent="0.25">
      <c r="A179" s="186" t="s">
        <v>721</v>
      </c>
      <c r="B179" s="187" t="s">
        <v>720</v>
      </c>
      <c r="C179" s="188">
        <v>1148.81</v>
      </c>
      <c r="D179" s="188">
        <v>0</v>
      </c>
      <c r="E179" s="188">
        <v>975.26</v>
      </c>
      <c r="F179" s="188">
        <v>0</v>
      </c>
      <c r="G179" s="188">
        <v>697.72</v>
      </c>
      <c r="H179" s="188">
        <v>0</v>
      </c>
      <c r="I179" s="188">
        <v>757.1</v>
      </c>
      <c r="J179" s="188">
        <v>0</v>
      </c>
      <c r="K179" s="188">
        <v>3578.89</v>
      </c>
    </row>
    <row r="180" spans="1:11" x14ac:dyDescent="0.25">
      <c r="A180" s="186" t="s">
        <v>722</v>
      </c>
      <c r="B180" s="187" t="s">
        <v>723</v>
      </c>
      <c r="C180" s="188">
        <v>1148.81</v>
      </c>
      <c r="D180" s="188">
        <v>0</v>
      </c>
      <c r="E180" s="188">
        <v>975.26</v>
      </c>
      <c r="F180" s="188">
        <v>0</v>
      </c>
      <c r="G180" s="188">
        <v>697.72</v>
      </c>
      <c r="H180" s="188">
        <v>0</v>
      </c>
      <c r="I180" s="188">
        <v>757.1</v>
      </c>
      <c r="J180" s="188">
        <v>0</v>
      </c>
      <c r="K180" s="188">
        <v>3578.89</v>
      </c>
    </row>
    <row r="181" spans="1:11" x14ac:dyDescent="0.25">
      <c r="A181" s="186" t="s">
        <v>724</v>
      </c>
      <c r="B181" s="187" t="s">
        <v>725</v>
      </c>
      <c r="C181" s="188">
        <v>1148.81</v>
      </c>
      <c r="D181" s="188">
        <v>0</v>
      </c>
      <c r="E181" s="188">
        <v>975.26</v>
      </c>
      <c r="F181" s="188">
        <v>0</v>
      </c>
      <c r="G181" s="188">
        <v>697.72</v>
      </c>
      <c r="H181" s="188">
        <v>0</v>
      </c>
      <c r="I181" s="188">
        <v>757.1</v>
      </c>
      <c r="J181" s="188">
        <v>0</v>
      </c>
      <c r="K181" s="188">
        <v>3578.89</v>
      </c>
    </row>
    <row r="183" spans="1:11" x14ac:dyDescent="0.25">
      <c r="A183" s="290" t="s">
        <v>192</v>
      </c>
      <c r="B183" s="290"/>
      <c r="C183" s="290" t="s">
        <v>193</v>
      </c>
      <c r="D183" s="290"/>
      <c r="E183" s="290"/>
      <c r="G183" s="183" t="s">
        <v>194</v>
      </c>
      <c r="I183" s="314" t="s">
        <v>195</v>
      </c>
      <c r="J183" s="314"/>
    </row>
    <row r="184" spans="1:11" x14ac:dyDescent="0.25">
      <c r="A184" s="307" t="s">
        <v>196</v>
      </c>
      <c r="B184" s="307"/>
      <c r="C184" s="307"/>
      <c r="D184" s="307"/>
      <c r="E184" s="307"/>
      <c r="F184" s="307"/>
      <c r="G184" s="307"/>
      <c r="H184" s="307"/>
    </row>
    <row r="185" spans="1:11" ht="15.75" x14ac:dyDescent="0.25">
      <c r="A185" s="308" t="s">
        <v>197</v>
      </c>
      <c r="B185" s="308"/>
      <c r="C185" s="310" t="s">
        <v>198</v>
      </c>
      <c r="D185" s="310"/>
      <c r="E185" s="310"/>
      <c r="F185" s="310"/>
      <c r="G185" s="310"/>
      <c r="H185" s="310"/>
      <c r="I185" s="310"/>
      <c r="J185" s="310"/>
      <c r="K185" s="310"/>
    </row>
    <row r="186" spans="1:11" ht="15.75" x14ac:dyDescent="0.25">
      <c r="A186" s="309"/>
      <c r="B186" s="309"/>
      <c r="C186" s="311">
        <v>2022</v>
      </c>
      <c r="D186" s="311"/>
      <c r="E186" s="311">
        <v>2023</v>
      </c>
      <c r="F186" s="311"/>
      <c r="G186" s="311">
        <v>2024</v>
      </c>
      <c r="H186" s="311"/>
      <c r="I186" s="311">
        <v>2025</v>
      </c>
      <c r="J186" s="311"/>
      <c r="K186" s="312" t="s">
        <v>90</v>
      </c>
    </row>
    <row r="187" spans="1:11" ht="15.75" x14ac:dyDescent="0.25">
      <c r="A187" s="308"/>
      <c r="B187" s="308"/>
      <c r="C187" s="184" t="s">
        <v>199</v>
      </c>
      <c r="D187" s="184" t="s">
        <v>200</v>
      </c>
      <c r="E187" s="184" t="s">
        <v>199</v>
      </c>
      <c r="F187" s="184" t="s">
        <v>200</v>
      </c>
      <c r="G187" s="184" t="s">
        <v>199</v>
      </c>
      <c r="H187" s="184" t="s">
        <v>200</v>
      </c>
      <c r="I187" s="184" t="s">
        <v>199</v>
      </c>
      <c r="J187" s="184" t="s">
        <v>200</v>
      </c>
      <c r="K187" s="313"/>
    </row>
    <row r="188" spans="1:11" x14ac:dyDescent="0.25">
      <c r="A188" s="186" t="s">
        <v>726</v>
      </c>
      <c r="B188" s="187" t="s">
        <v>727</v>
      </c>
      <c r="C188" s="188">
        <v>1163888.42</v>
      </c>
      <c r="D188" s="188">
        <v>0</v>
      </c>
      <c r="E188" s="188">
        <v>910535.75</v>
      </c>
      <c r="F188" s="188">
        <v>0</v>
      </c>
      <c r="G188" s="188">
        <v>1050222.82</v>
      </c>
      <c r="H188" s="188">
        <v>0</v>
      </c>
      <c r="I188" s="188">
        <v>1070017</v>
      </c>
      <c r="J188" s="188">
        <v>0</v>
      </c>
      <c r="K188" s="188">
        <v>4194663.99</v>
      </c>
    </row>
    <row r="189" spans="1:11" x14ac:dyDescent="0.25">
      <c r="A189" s="186" t="s">
        <v>732</v>
      </c>
      <c r="B189" s="187" t="s">
        <v>733</v>
      </c>
      <c r="C189" s="188">
        <v>1163888.42</v>
      </c>
      <c r="D189" s="188">
        <v>0</v>
      </c>
      <c r="E189" s="188">
        <v>910535.75</v>
      </c>
      <c r="F189" s="188">
        <v>0</v>
      </c>
      <c r="G189" s="188">
        <v>1050222.82</v>
      </c>
      <c r="H189" s="188">
        <v>0</v>
      </c>
      <c r="I189" s="188">
        <v>1070017</v>
      </c>
      <c r="J189" s="188">
        <v>0</v>
      </c>
      <c r="K189" s="188">
        <v>4194663.99</v>
      </c>
    </row>
    <row r="190" spans="1:11" x14ac:dyDescent="0.25">
      <c r="A190" s="186" t="s">
        <v>734</v>
      </c>
      <c r="B190" s="187" t="s">
        <v>733</v>
      </c>
      <c r="C190" s="188">
        <v>1163888.42</v>
      </c>
      <c r="D190" s="188">
        <v>0</v>
      </c>
      <c r="E190" s="188">
        <v>910535.75</v>
      </c>
      <c r="F190" s="188">
        <v>0</v>
      </c>
      <c r="G190" s="188">
        <v>1050222.82</v>
      </c>
      <c r="H190" s="188">
        <v>0</v>
      </c>
      <c r="I190" s="188">
        <v>1070017</v>
      </c>
      <c r="J190" s="188">
        <v>0</v>
      </c>
      <c r="K190" s="188">
        <v>4194663.99</v>
      </c>
    </row>
    <row r="191" spans="1:11" x14ac:dyDescent="0.25">
      <c r="A191" s="186" t="s">
        <v>735</v>
      </c>
      <c r="B191" s="187" t="s">
        <v>736</v>
      </c>
      <c r="C191" s="188">
        <v>1163888.42</v>
      </c>
      <c r="D191" s="188">
        <v>0</v>
      </c>
      <c r="E191" s="188">
        <v>910535.75</v>
      </c>
      <c r="F191" s="188">
        <v>0</v>
      </c>
      <c r="G191" s="188">
        <v>1050222.82</v>
      </c>
      <c r="H191" s="188">
        <v>0</v>
      </c>
      <c r="I191" s="188">
        <v>1070017</v>
      </c>
      <c r="J191" s="188">
        <v>0</v>
      </c>
      <c r="K191" s="188">
        <v>4194663.99</v>
      </c>
    </row>
    <row r="192" spans="1:11" x14ac:dyDescent="0.25">
      <c r="A192" s="186" t="s">
        <v>737</v>
      </c>
      <c r="B192" s="187" t="s">
        <v>738</v>
      </c>
      <c r="C192" s="188">
        <v>62980.79</v>
      </c>
      <c r="D192" s="188">
        <v>0</v>
      </c>
      <c r="E192" s="188">
        <v>35481.870000000003</v>
      </c>
      <c r="F192" s="188">
        <v>0</v>
      </c>
      <c r="G192" s="188">
        <v>43518.23</v>
      </c>
      <c r="H192" s="188">
        <v>0</v>
      </c>
      <c r="I192" s="188">
        <v>41805.08</v>
      </c>
      <c r="J192" s="188">
        <v>0</v>
      </c>
      <c r="K192" s="188">
        <v>183785.97</v>
      </c>
    </row>
    <row r="193" spans="1:11" x14ac:dyDescent="0.25">
      <c r="A193" s="186" t="s">
        <v>739</v>
      </c>
      <c r="B193" s="187" t="s">
        <v>740</v>
      </c>
      <c r="C193" s="188">
        <v>24672.38</v>
      </c>
      <c r="D193" s="188">
        <v>0</v>
      </c>
      <c r="E193" s="188">
        <v>18524.54</v>
      </c>
      <c r="F193" s="188">
        <v>0</v>
      </c>
      <c r="G193" s="188">
        <v>21563.09</v>
      </c>
      <c r="H193" s="188">
        <v>0</v>
      </c>
      <c r="I193" s="188">
        <v>19405.5</v>
      </c>
      <c r="J193" s="188">
        <v>0</v>
      </c>
      <c r="K193" s="188">
        <v>84165.51</v>
      </c>
    </row>
    <row r="194" spans="1:11" x14ac:dyDescent="0.25">
      <c r="A194" s="186" t="s">
        <v>741</v>
      </c>
      <c r="B194" s="187" t="s">
        <v>742</v>
      </c>
      <c r="C194" s="188">
        <v>24672.38</v>
      </c>
      <c r="D194" s="188">
        <v>0</v>
      </c>
      <c r="E194" s="188">
        <v>18524.54</v>
      </c>
      <c r="F194" s="188">
        <v>0</v>
      </c>
      <c r="G194" s="188">
        <v>21563.09</v>
      </c>
      <c r="H194" s="188">
        <v>0</v>
      </c>
      <c r="I194" s="188">
        <v>19405.5</v>
      </c>
      <c r="J194" s="188">
        <v>0</v>
      </c>
      <c r="K194" s="188">
        <v>84165.51</v>
      </c>
    </row>
    <row r="195" spans="1:11" x14ac:dyDescent="0.25">
      <c r="A195" s="186" t="s">
        <v>743</v>
      </c>
      <c r="B195" s="187" t="s">
        <v>744</v>
      </c>
      <c r="C195" s="188">
        <v>24672.38</v>
      </c>
      <c r="D195" s="188">
        <v>0</v>
      </c>
      <c r="E195" s="188">
        <v>18524.54</v>
      </c>
      <c r="F195" s="188">
        <v>0</v>
      </c>
      <c r="G195" s="188">
        <v>21563.09</v>
      </c>
      <c r="H195" s="188">
        <v>0</v>
      </c>
      <c r="I195" s="188">
        <v>19405.5</v>
      </c>
      <c r="J195" s="188">
        <v>0</v>
      </c>
      <c r="K195" s="188">
        <v>84165.51</v>
      </c>
    </row>
    <row r="196" spans="1:11" x14ac:dyDescent="0.25">
      <c r="A196" s="186" t="s">
        <v>745</v>
      </c>
      <c r="B196" s="187" t="s">
        <v>746</v>
      </c>
      <c r="C196" s="188">
        <v>24672.38</v>
      </c>
      <c r="D196" s="188">
        <v>0</v>
      </c>
      <c r="E196" s="188">
        <v>18524.54</v>
      </c>
      <c r="F196" s="188">
        <v>0</v>
      </c>
      <c r="G196" s="188">
        <v>21563.09</v>
      </c>
      <c r="H196" s="188">
        <v>0</v>
      </c>
      <c r="I196" s="188">
        <v>19405.5</v>
      </c>
      <c r="J196" s="188">
        <v>0</v>
      </c>
      <c r="K196" s="188">
        <v>84165.51</v>
      </c>
    </row>
    <row r="197" spans="1:11" x14ac:dyDescent="0.25">
      <c r="A197" s="186" t="s">
        <v>747</v>
      </c>
      <c r="B197" s="187" t="s">
        <v>748</v>
      </c>
      <c r="C197" s="188">
        <v>38308.410000000003</v>
      </c>
      <c r="D197" s="188">
        <v>0</v>
      </c>
      <c r="E197" s="188">
        <v>16957.330000000002</v>
      </c>
      <c r="F197" s="188">
        <v>0</v>
      </c>
      <c r="G197" s="188">
        <v>21955.14</v>
      </c>
      <c r="H197" s="188">
        <v>0</v>
      </c>
      <c r="I197" s="188">
        <v>22399.58</v>
      </c>
      <c r="J197" s="188">
        <v>0</v>
      </c>
      <c r="K197" s="188">
        <v>99620.46</v>
      </c>
    </row>
    <row r="198" spans="1:11" x14ac:dyDescent="0.25">
      <c r="A198" s="186" t="s">
        <v>749</v>
      </c>
      <c r="B198" s="187" t="s">
        <v>750</v>
      </c>
      <c r="C198" s="188">
        <v>38308.410000000003</v>
      </c>
      <c r="D198" s="188">
        <v>0</v>
      </c>
      <c r="E198" s="188">
        <v>16957.330000000002</v>
      </c>
      <c r="F198" s="188">
        <v>0</v>
      </c>
      <c r="G198" s="188">
        <v>21955.14</v>
      </c>
      <c r="H198" s="188">
        <v>0</v>
      </c>
      <c r="I198" s="188">
        <v>22399.58</v>
      </c>
      <c r="J198" s="188">
        <v>0</v>
      </c>
      <c r="K198" s="188">
        <v>99620.46</v>
      </c>
    </row>
    <row r="199" spans="1:11" x14ac:dyDescent="0.25">
      <c r="A199" s="186" t="s">
        <v>751</v>
      </c>
      <c r="B199" s="187" t="s">
        <v>752</v>
      </c>
      <c r="C199" s="188">
        <v>34589.480000000003</v>
      </c>
      <c r="D199" s="188">
        <v>0</v>
      </c>
      <c r="E199" s="188">
        <v>14705.13</v>
      </c>
      <c r="F199" s="188">
        <v>0</v>
      </c>
      <c r="G199" s="188">
        <v>18777.84</v>
      </c>
      <c r="H199" s="188">
        <v>0</v>
      </c>
      <c r="I199" s="188">
        <v>19825</v>
      </c>
      <c r="J199" s="188">
        <v>0</v>
      </c>
      <c r="K199" s="188">
        <v>87897.45</v>
      </c>
    </row>
    <row r="200" spans="1:11" x14ac:dyDescent="0.25">
      <c r="A200" s="186" t="s">
        <v>753</v>
      </c>
      <c r="B200" s="187" t="s">
        <v>754</v>
      </c>
      <c r="C200" s="188">
        <v>34589.480000000003</v>
      </c>
      <c r="D200" s="188">
        <v>0</v>
      </c>
      <c r="E200" s="188">
        <v>14705.13</v>
      </c>
      <c r="F200" s="188">
        <v>0</v>
      </c>
      <c r="G200" s="188">
        <v>18777.84</v>
      </c>
      <c r="H200" s="188">
        <v>0</v>
      </c>
      <c r="I200" s="188">
        <v>19825</v>
      </c>
      <c r="J200" s="188">
        <v>0</v>
      </c>
      <c r="K200" s="188">
        <v>87897.45</v>
      </c>
    </row>
    <row r="201" spans="1:11" x14ac:dyDescent="0.25">
      <c r="A201" s="186" t="s">
        <v>755</v>
      </c>
      <c r="B201" s="187" t="s">
        <v>756</v>
      </c>
      <c r="C201" s="188">
        <v>34589.480000000003</v>
      </c>
      <c r="D201" s="188">
        <v>0</v>
      </c>
      <c r="E201" s="188">
        <v>14705.13</v>
      </c>
      <c r="F201" s="188">
        <v>0</v>
      </c>
      <c r="G201" s="188">
        <v>18777.84</v>
      </c>
      <c r="H201" s="188">
        <v>0</v>
      </c>
      <c r="I201" s="188">
        <v>19825</v>
      </c>
      <c r="J201" s="188">
        <v>0</v>
      </c>
      <c r="K201" s="188">
        <v>87897.45</v>
      </c>
    </row>
    <row r="202" spans="1:11" x14ac:dyDescent="0.25">
      <c r="A202" s="186" t="s">
        <v>757</v>
      </c>
      <c r="B202" s="187" t="s">
        <v>758</v>
      </c>
      <c r="C202" s="188">
        <v>27178.79</v>
      </c>
      <c r="D202" s="188">
        <v>0</v>
      </c>
      <c r="E202" s="188">
        <v>10105.43</v>
      </c>
      <c r="F202" s="188">
        <v>0</v>
      </c>
      <c r="G202" s="188">
        <v>13677.1</v>
      </c>
      <c r="H202" s="188">
        <v>0</v>
      </c>
      <c r="I202" s="188">
        <v>14745.48</v>
      </c>
      <c r="J202" s="188">
        <v>0</v>
      </c>
      <c r="K202" s="188">
        <v>65706.8</v>
      </c>
    </row>
    <row r="203" spans="1:11" x14ac:dyDescent="0.25">
      <c r="A203" s="186" t="s">
        <v>759</v>
      </c>
      <c r="B203" s="187" t="s">
        <v>760</v>
      </c>
      <c r="C203" s="188">
        <v>841.71</v>
      </c>
      <c r="D203" s="188">
        <v>0</v>
      </c>
      <c r="E203" s="188">
        <v>350.9</v>
      </c>
      <c r="F203" s="188">
        <v>0</v>
      </c>
      <c r="G203" s="188">
        <v>435.34</v>
      </c>
      <c r="H203" s="188">
        <v>0</v>
      </c>
      <c r="I203" s="188">
        <v>451.48</v>
      </c>
      <c r="J203" s="188">
        <v>0</v>
      </c>
      <c r="K203" s="188">
        <v>2079.4299999999998</v>
      </c>
    </row>
    <row r="204" spans="1:11" x14ac:dyDescent="0.25">
      <c r="A204" s="186" t="s">
        <v>761</v>
      </c>
      <c r="B204" s="187" t="s">
        <v>762</v>
      </c>
      <c r="C204" s="188">
        <v>1222.49</v>
      </c>
      <c r="D204" s="188">
        <v>0</v>
      </c>
      <c r="E204" s="188">
        <v>372</v>
      </c>
      <c r="F204" s="188">
        <v>0</v>
      </c>
      <c r="G204" s="188">
        <v>635.09</v>
      </c>
      <c r="H204" s="188">
        <v>0</v>
      </c>
      <c r="I204" s="188">
        <v>613.42999999999995</v>
      </c>
      <c r="J204" s="188">
        <v>0</v>
      </c>
      <c r="K204" s="188">
        <v>2843.01</v>
      </c>
    </row>
    <row r="205" spans="1:11" x14ac:dyDescent="0.25">
      <c r="A205" s="186" t="s">
        <v>763</v>
      </c>
      <c r="B205" s="187" t="s">
        <v>764</v>
      </c>
      <c r="C205" s="188">
        <v>5346.49</v>
      </c>
      <c r="D205" s="188">
        <v>0</v>
      </c>
      <c r="E205" s="188">
        <v>3876.8</v>
      </c>
      <c r="F205" s="188">
        <v>0</v>
      </c>
      <c r="G205" s="188">
        <v>4030.31</v>
      </c>
      <c r="H205" s="188">
        <v>0</v>
      </c>
      <c r="I205" s="188">
        <v>4014.61</v>
      </c>
      <c r="J205" s="188">
        <v>0</v>
      </c>
      <c r="K205" s="188">
        <v>17268.21</v>
      </c>
    </row>
    <row r="206" spans="1:11" x14ac:dyDescent="0.25">
      <c r="A206" s="186" t="s">
        <v>765</v>
      </c>
      <c r="B206" s="187" t="s">
        <v>766</v>
      </c>
      <c r="C206" s="188">
        <v>5346.49</v>
      </c>
      <c r="D206" s="188">
        <v>0</v>
      </c>
      <c r="E206" s="188">
        <v>3876.8</v>
      </c>
      <c r="F206" s="188">
        <v>0</v>
      </c>
      <c r="G206" s="188">
        <v>4030.31</v>
      </c>
      <c r="H206" s="188">
        <v>0</v>
      </c>
      <c r="I206" s="188">
        <v>4014.61</v>
      </c>
      <c r="J206" s="188">
        <v>0</v>
      </c>
      <c r="K206" s="188">
        <v>17268.21</v>
      </c>
    </row>
    <row r="207" spans="1:11" x14ac:dyDescent="0.25">
      <c r="A207" s="186" t="s">
        <v>767</v>
      </c>
      <c r="B207" s="187" t="s">
        <v>768</v>
      </c>
      <c r="C207" s="188">
        <v>3718.93</v>
      </c>
      <c r="D207" s="188">
        <v>0</v>
      </c>
      <c r="E207" s="188">
        <v>2252.1999999999998</v>
      </c>
      <c r="F207" s="188">
        <v>0</v>
      </c>
      <c r="G207" s="188">
        <v>3177.3</v>
      </c>
      <c r="H207" s="188">
        <v>0</v>
      </c>
      <c r="I207" s="188">
        <v>2574.58</v>
      </c>
      <c r="J207" s="188">
        <v>0</v>
      </c>
      <c r="K207" s="188">
        <v>11723.01</v>
      </c>
    </row>
    <row r="208" spans="1:11" x14ac:dyDescent="0.25">
      <c r="A208" s="186" t="s">
        <v>769</v>
      </c>
      <c r="B208" s="187" t="s">
        <v>770</v>
      </c>
      <c r="C208" s="188">
        <v>3718.93</v>
      </c>
      <c r="D208" s="188">
        <v>0</v>
      </c>
      <c r="E208" s="188">
        <v>2252.1999999999998</v>
      </c>
      <c r="F208" s="188">
        <v>0</v>
      </c>
      <c r="G208" s="188">
        <v>3177.3</v>
      </c>
      <c r="H208" s="188">
        <v>0</v>
      </c>
      <c r="I208" s="188">
        <v>2574.58</v>
      </c>
      <c r="J208" s="188">
        <v>0</v>
      </c>
      <c r="K208" s="188">
        <v>11723.01</v>
      </c>
    </row>
    <row r="209" spans="1:11" x14ac:dyDescent="0.25">
      <c r="A209" s="186" t="s">
        <v>771</v>
      </c>
      <c r="B209" s="187" t="s">
        <v>772</v>
      </c>
      <c r="C209" s="188">
        <v>3718.93</v>
      </c>
      <c r="D209" s="188">
        <v>0</v>
      </c>
      <c r="E209" s="188">
        <v>2252.1999999999998</v>
      </c>
      <c r="F209" s="188">
        <v>0</v>
      </c>
      <c r="G209" s="188">
        <v>3177.3</v>
      </c>
      <c r="H209" s="188">
        <v>0</v>
      </c>
      <c r="I209" s="188">
        <v>2574.58</v>
      </c>
      <c r="J209" s="188">
        <v>0</v>
      </c>
      <c r="K209" s="188">
        <v>11723.01</v>
      </c>
    </row>
    <row r="210" spans="1:11" x14ac:dyDescent="0.25">
      <c r="A210" s="186" t="s">
        <v>773</v>
      </c>
      <c r="B210" s="187" t="s">
        <v>774</v>
      </c>
      <c r="C210" s="188">
        <v>3718.93</v>
      </c>
      <c r="D210" s="188">
        <v>0</v>
      </c>
      <c r="E210" s="188">
        <v>2252.1999999999998</v>
      </c>
      <c r="F210" s="188">
        <v>0</v>
      </c>
      <c r="G210" s="188">
        <v>3177.3</v>
      </c>
      <c r="H210" s="188">
        <v>0</v>
      </c>
      <c r="I210" s="188">
        <v>2574.58</v>
      </c>
      <c r="J210" s="188">
        <v>0</v>
      </c>
      <c r="K210" s="188">
        <v>11723.01</v>
      </c>
    </row>
    <row r="211" spans="1:11" x14ac:dyDescent="0.25">
      <c r="A211" s="186" t="s">
        <v>776</v>
      </c>
      <c r="B211" s="187" t="s">
        <v>55</v>
      </c>
      <c r="C211" s="188">
        <v>138999.82999999999</v>
      </c>
      <c r="D211" s="188">
        <v>0</v>
      </c>
      <c r="E211" s="188">
        <v>103889.81</v>
      </c>
      <c r="F211" s="188">
        <v>0</v>
      </c>
      <c r="G211" s="188">
        <v>108374.89</v>
      </c>
      <c r="H211" s="188">
        <v>0</v>
      </c>
      <c r="I211" s="188">
        <v>112374.08</v>
      </c>
      <c r="J211" s="188">
        <v>0</v>
      </c>
      <c r="K211" s="188">
        <v>463638.61</v>
      </c>
    </row>
    <row r="212" spans="1:11" x14ac:dyDescent="0.25">
      <c r="A212" s="186" t="s">
        <v>777</v>
      </c>
      <c r="B212" s="187" t="s">
        <v>55</v>
      </c>
      <c r="C212" s="188">
        <v>138999.82999999999</v>
      </c>
      <c r="D212" s="188">
        <v>0</v>
      </c>
      <c r="E212" s="188">
        <v>103889.81</v>
      </c>
      <c r="F212" s="188">
        <v>0</v>
      </c>
      <c r="G212" s="188">
        <v>108374.89</v>
      </c>
      <c r="H212" s="188">
        <v>0</v>
      </c>
      <c r="I212" s="188">
        <v>112374.08</v>
      </c>
      <c r="J212" s="188">
        <v>0</v>
      </c>
      <c r="K212" s="188">
        <v>463638.61</v>
      </c>
    </row>
    <row r="213" spans="1:11" x14ac:dyDescent="0.25">
      <c r="A213" s="186" t="s">
        <v>778</v>
      </c>
      <c r="B213" s="187" t="s">
        <v>779</v>
      </c>
      <c r="C213" s="188">
        <v>138999.82999999999</v>
      </c>
      <c r="D213" s="188">
        <v>0</v>
      </c>
      <c r="E213" s="188">
        <v>103889.81</v>
      </c>
      <c r="F213" s="188">
        <v>0</v>
      </c>
      <c r="G213" s="188">
        <v>108374.89</v>
      </c>
      <c r="H213" s="188">
        <v>0</v>
      </c>
      <c r="I213" s="188">
        <v>112374.08</v>
      </c>
      <c r="J213" s="188">
        <v>0</v>
      </c>
      <c r="K213" s="188">
        <v>463638.61</v>
      </c>
    </row>
    <row r="214" spans="1:11" x14ac:dyDescent="0.25">
      <c r="A214" s="186" t="s">
        <v>780</v>
      </c>
      <c r="B214" s="187" t="s">
        <v>781</v>
      </c>
      <c r="C214" s="188">
        <v>138999.82999999999</v>
      </c>
      <c r="D214" s="188">
        <v>0</v>
      </c>
      <c r="E214" s="188">
        <v>103889.81</v>
      </c>
      <c r="F214" s="188">
        <v>0</v>
      </c>
      <c r="G214" s="188">
        <v>108374.89</v>
      </c>
      <c r="H214" s="188">
        <v>0</v>
      </c>
      <c r="I214" s="188">
        <v>112374.08</v>
      </c>
      <c r="J214" s="188">
        <v>0</v>
      </c>
      <c r="K214" s="188">
        <v>463638.61</v>
      </c>
    </row>
    <row r="215" spans="1:11" x14ac:dyDescent="0.25">
      <c r="A215" s="186" t="s">
        <v>782</v>
      </c>
      <c r="B215" s="187" t="s">
        <v>56</v>
      </c>
      <c r="C215" s="188">
        <v>552523.71</v>
      </c>
      <c r="D215" s="188">
        <v>0</v>
      </c>
      <c r="E215" s="188">
        <v>299611.27</v>
      </c>
      <c r="F215" s="188">
        <v>0</v>
      </c>
      <c r="G215" s="188">
        <v>358764.19</v>
      </c>
      <c r="H215" s="188">
        <v>0</v>
      </c>
      <c r="I215" s="188">
        <v>303541.13</v>
      </c>
      <c r="J215" s="188">
        <v>0</v>
      </c>
      <c r="K215" s="188">
        <v>1514440.3</v>
      </c>
    </row>
    <row r="216" spans="1:11" x14ac:dyDescent="0.25">
      <c r="A216" s="186" t="s">
        <v>783</v>
      </c>
      <c r="B216" s="187" t="s">
        <v>784</v>
      </c>
      <c r="C216" s="188">
        <v>552523.71</v>
      </c>
      <c r="D216" s="188">
        <v>0</v>
      </c>
      <c r="E216" s="188">
        <v>299611.27</v>
      </c>
      <c r="F216" s="188">
        <v>0</v>
      </c>
      <c r="G216" s="188">
        <v>358764.19</v>
      </c>
      <c r="H216" s="188">
        <v>0</v>
      </c>
      <c r="I216" s="188">
        <v>303541.13</v>
      </c>
      <c r="J216" s="188">
        <v>0</v>
      </c>
      <c r="K216" s="188">
        <v>1514440.3</v>
      </c>
    </row>
    <row r="218" spans="1:11" x14ac:dyDescent="0.25">
      <c r="A218" s="290" t="s">
        <v>192</v>
      </c>
      <c r="B218" s="290"/>
      <c r="C218" s="290" t="s">
        <v>193</v>
      </c>
      <c r="D218" s="290"/>
      <c r="E218" s="290"/>
      <c r="G218" s="183" t="s">
        <v>194</v>
      </c>
      <c r="I218" s="314" t="s">
        <v>195</v>
      </c>
      <c r="J218" s="314"/>
    </row>
    <row r="219" spans="1:11" x14ac:dyDescent="0.25">
      <c r="A219" s="307" t="s">
        <v>196</v>
      </c>
      <c r="B219" s="307"/>
      <c r="C219" s="307"/>
      <c r="D219" s="307"/>
      <c r="E219" s="307"/>
      <c r="F219" s="307"/>
      <c r="G219" s="307"/>
      <c r="H219" s="307"/>
    </row>
    <row r="220" spans="1:11" ht="15.75" x14ac:dyDescent="0.25">
      <c r="A220" s="308" t="s">
        <v>197</v>
      </c>
      <c r="B220" s="308"/>
      <c r="C220" s="310" t="s">
        <v>198</v>
      </c>
      <c r="D220" s="310"/>
      <c r="E220" s="310"/>
      <c r="F220" s="310"/>
      <c r="G220" s="310"/>
      <c r="H220" s="310"/>
      <c r="I220" s="310"/>
      <c r="J220" s="310"/>
      <c r="K220" s="310"/>
    </row>
    <row r="221" spans="1:11" ht="15.75" x14ac:dyDescent="0.25">
      <c r="A221" s="309"/>
      <c r="B221" s="309"/>
      <c r="C221" s="311">
        <v>2022</v>
      </c>
      <c r="D221" s="311"/>
      <c r="E221" s="311">
        <v>2023</v>
      </c>
      <c r="F221" s="311"/>
      <c r="G221" s="311">
        <v>2024</v>
      </c>
      <c r="H221" s="311"/>
      <c r="I221" s="311">
        <v>2025</v>
      </c>
      <c r="J221" s="311"/>
      <c r="K221" s="312" t="s">
        <v>90</v>
      </c>
    </row>
    <row r="222" spans="1:11" ht="15.75" x14ac:dyDescent="0.25">
      <c r="A222" s="308"/>
      <c r="B222" s="308"/>
      <c r="C222" s="184" t="s">
        <v>199</v>
      </c>
      <c r="D222" s="184" t="s">
        <v>200</v>
      </c>
      <c r="E222" s="184" t="s">
        <v>199</v>
      </c>
      <c r="F222" s="184" t="s">
        <v>200</v>
      </c>
      <c r="G222" s="184" t="s">
        <v>199</v>
      </c>
      <c r="H222" s="184" t="s">
        <v>200</v>
      </c>
      <c r="I222" s="184" t="s">
        <v>199</v>
      </c>
      <c r="J222" s="184" t="s">
        <v>200</v>
      </c>
      <c r="K222" s="313"/>
    </row>
    <row r="223" spans="1:11" x14ac:dyDescent="0.25">
      <c r="A223" s="186" t="s">
        <v>785</v>
      </c>
      <c r="B223" s="187" t="s">
        <v>786</v>
      </c>
      <c r="C223" s="188">
        <v>552523.71</v>
      </c>
      <c r="D223" s="188">
        <v>0</v>
      </c>
      <c r="E223" s="188">
        <v>299611.27</v>
      </c>
      <c r="F223" s="188">
        <v>0</v>
      </c>
      <c r="G223" s="188">
        <v>358764.19</v>
      </c>
      <c r="H223" s="188">
        <v>0</v>
      </c>
      <c r="I223" s="188">
        <v>303541.13</v>
      </c>
      <c r="J223" s="188">
        <v>0</v>
      </c>
      <c r="K223" s="188">
        <v>1514440.3</v>
      </c>
    </row>
    <row r="224" spans="1:11" x14ac:dyDescent="0.25">
      <c r="A224" s="186" t="s">
        <v>787</v>
      </c>
      <c r="B224" s="187" t="s">
        <v>788</v>
      </c>
      <c r="C224" s="188">
        <v>552523.71</v>
      </c>
      <c r="D224" s="188">
        <v>0</v>
      </c>
      <c r="E224" s="188">
        <v>299611.27</v>
      </c>
      <c r="F224" s="188">
        <v>0</v>
      </c>
      <c r="G224" s="188">
        <v>358764.19</v>
      </c>
      <c r="H224" s="188">
        <v>0</v>
      </c>
      <c r="I224" s="188">
        <v>303541.13</v>
      </c>
      <c r="J224" s="188">
        <v>0</v>
      </c>
      <c r="K224" s="188">
        <v>1514440.3</v>
      </c>
    </row>
    <row r="225" spans="1:11" x14ac:dyDescent="0.25">
      <c r="A225" s="186" t="s">
        <v>789</v>
      </c>
      <c r="B225" s="187" t="s">
        <v>790</v>
      </c>
      <c r="C225" s="188">
        <v>552523.71</v>
      </c>
      <c r="D225" s="188">
        <v>0</v>
      </c>
      <c r="E225" s="188">
        <v>299611.27</v>
      </c>
      <c r="F225" s="188">
        <v>0</v>
      </c>
      <c r="G225" s="188">
        <v>358764.19</v>
      </c>
      <c r="H225" s="188">
        <v>0</v>
      </c>
      <c r="I225" s="188">
        <v>303541.13</v>
      </c>
      <c r="J225" s="188">
        <v>0</v>
      </c>
      <c r="K225" s="188">
        <v>1514440.3</v>
      </c>
    </row>
    <row r="226" spans="1:11" x14ac:dyDescent="0.25">
      <c r="A226" s="186" t="s">
        <v>791</v>
      </c>
      <c r="B226" s="187" t="s">
        <v>792</v>
      </c>
      <c r="C226" s="188">
        <v>552523.71</v>
      </c>
      <c r="D226" s="188">
        <v>0</v>
      </c>
      <c r="E226" s="188">
        <v>299611.27</v>
      </c>
      <c r="F226" s="188">
        <v>0</v>
      </c>
      <c r="G226" s="188">
        <v>358764.19</v>
      </c>
      <c r="H226" s="188">
        <v>0</v>
      </c>
      <c r="I226" s="188">
        <v>303541.13</v>
      </c>
      <c r="J226" s="188">
        <v>0</v>
      </c>
      <c r="K226" s="188">
        <v>1514440.3</v>
      </c>
    </row>
    <row r="227" spans="1:11" x14ac:dyDescent="0.25">
      <c r="A227" s="186" t="s">
        <v>336</v>
      </c>
      <c r="B227" s="187" t="s">
        <v>337</v>
      </c>
      <c r="C227" s="188">
        <v>113660940.89</v>
      </c>
      <c r="D227" s="188">
        <v>0</v>
      </c>
      <c r="E227" s="188">
        <v>131033190.92</v>
      </c>
      <c r="F227" s="188">
        <v>0</v>
      </c>
      <c r="G227" s="188">
        <v>141506663.55000001</v>
      </c>
      <c r="H227" s="188">
        <v>0</v>
      </c>
      <c r="I227" s="188">
        <v>155951979.55000001</v>
      </c>
      <c r="J227" s="188">
        <v>0</v>
      </c>
      <c r="K227" s="188">
        <v>542152774.90999997</v>
      </c>
    </row>
    <row r="228" spans="1:11" x14ac:dyDescent="0.25">
      <c r="A228" s="186" t="s">
        <v>338</v>
      </c>
      <c r="B228" s="187" t="s">
        <v>339</v>
      </c>
      <c r="C228" s="188">
        <v>41358772.399999999</v>
      </c>
      <c r="D228" s="188">
        <v>0</v>
      </c>
      <c r="E228" s="188">
        <v>41652985.409999996</v>
      </c>
      <c r="F228" s="188">
        <v>0</v>
      </c>
      <c r="G228" s="188">
        <v>46249294.340000004</v>
      </c>
      <c r="H228" s="188">
        <v>0</v>
      </c>
      <c r="I228" s="188">
        <v>50194143.060000002</v>
      </c>
      <c r="J228" s="188">
        <v>0</v>
      </c>
      <c r="K228" s="188">
        <v>179455195.21000001</v>
      </c>
    </row>
    <row r="229" spans="1:11" x14ac:dyDescent="0.25">
      <c r="A229" s="186" t="s">
        <v>340</v>
      </c>
      <c r="B229" s="187" t="s">
        <v>341</v>
      </c>
      <c r="C229" s="188">
        <v>41358772.399999999</v>
      </c>
      <c r="D229" s="188">
        <v>0</v>
      </c>
      <c r="E229" s="188">
        <v>41652985.409999996</v>
      </c>
      <c r="F229" s="188">
        <v>0</v>
      </c>
      <c r="G229" s="188">
        <v>46249294.340000004</v>
      </c>
      <c r="H229" s="188">
        <v>0</v>
      </c>
      <c r="I229" s="188">
        <v>50194143.060000002</v>
      </c>
      <c r="J229" s="188">
        <v>0</v>
      </c>
      <c r="K229" s="188">
        <v>179455195.21000001</v>
      </c>
    </row>
    <row r="230" spans="1:11" x14ac:dyDescent="0.25">
      <c r="A230" s="186" t="s">
        <v>342</v>
      </c>
      <c r="B230" s="187" t="s">
        <v>343</v>
      </c>
      <c r="C230" s="188">
        <v>31993371.59</v>
      </c>
      <c r="D230" s="188">
        <v>0</v>
      </c>
      <c r="E230" s="188">
        <v>33085369.210000001</v>
      </c>
      <c r="F230" s="188">
        <v>0</v>
      </c>
      <c r="G230" s="188">
        <v>36507763.880000003</v>
      </c>
      <c r="H230" s="188">
        <v>0</v>
      </c>
      <c r="I230" s="188">
        <v>40044240.280000001</v>
      </c>
      <c r="J230" s="188">
        <v>0</v>
      </c>
      <c r="K230" s="188">
        <v>141630744.96000001</v>
      </c>
    </row>
    <row r="231" spans="1:11" x14ac:dyDescent="0.25">
      <c r="A231" s="186" t="s">
        <v>344</v>
      </c>
      <c r="B231" s="187" t="s">
        <v>345</v>
      </c>
      <c r="C231" s="188">
        <v>28295521.66</v>
      </c>
      <c r="D231" s="188">
        <v>0</v>
      </c>
      <c r="E231" s="188">
        <v>30231870.210000001</v>
      </c>
      <c r="F231" s="188">
        <v>0</v>
      </c>
      <c r="G231" s="188">
        <v>33239793.960000001</v>
      </c>
      <c r="H231" s="188">
        <v>0</v>
      </c>
      <c r="I231" s="188">
        <v>36698582.539999999</v>
      </c>
      <c r="J231" s="188">
        <v>0</v>
      </c>
      <c r="K231" s="188">
        <v>128465768.37</v>
      </c>
    </row>
    <row r="232" spans="1:11" x14ac:dyDescent="0.25">
      <c r="A232" s="186" t="s">
        <v>346</v>
      </c>
      <c r="B232" s="187" t="s">
        <v>347</v>
      </c>
      <c r="C232" s="188">
        <v>28295521.66</v>
      </c>
      <c r="D232" s="188">
        <v>0</v>
      </c>
      <c r="E232" s="188">
        <v>30231870.210000001</v>
      </c>
      <c r="F232" s="188">
        <v>0</v>
      </c>
      <c r="G232" s="188">
        <v>33239793.960000001</v>
      </c>
      <c r="H232" s="188">
        <v>0</v>
      </c>
      <c r="I232" s="188">
        <v>36698582.539999999</v>
      </c>
      <c r="J232" s="188">
        <v>0</v>
      </c>
      <c r="K232" s="188">
        <v>128465768.37</v>
      </c>
    </row>
    <row r="233" spans="1:11" x14ac:dyDescent="0.25">
      <c r="A233" s="186" t="s">
        <v>348</v>
      </c>
      <c r="B233" s="187" t="s">
        <v>349</v>
      </c>
      <c r="C233" s="188">
        <v>16977313</v>
      </c>
      <c r="D233" s="188">
        <v>0</v>
      </c>
      <c r="E233" s="188">
        <v>18139122.129999999</v>
      </c>
      <c r="F233" s="188">
        <v>0</v>
      </c>
      <c r="G233" s="188">
        <v>19943876.379999999</v>
      </c>
      <c r="H233" s="188">
        <v>0</v>
      </c>
      <c r="I233" s="188">
        <v>22019149.52</v>
      </c>
      <c r="J233" s="188">
        <v>0</v>
      </c>
      <c r="K233" s="188">
        <v>77079461.030000001</v>
      </c>
    </row>
    <row r="234" spans="1:11" x14ac:dyDescent="0.25">
      <c r="A234" s="186" t="s">
        <v>350</v>
      </c>
      <c r="B234" s="187" t="s">
        <v>351</v>
      </c>
      <c r="C234" s="188">
        <v>1414776.08</v>
      </c>
      <c r="D234" s="188">
        <v>0</v>
      </c>
      <c r="E234" s="188">
        <v>1511593.51</v>
      </c>
      <c r="F234" s="188">
        <v>0</v>
      </c>
      <c r="G234" s="188">
        <v>1661989.7</v>
      </c>
      <c r="H234" s="188">
        <v>0</v>
      </c>
      <c r="I234" s="188">
        <v>1834929.13</v>
      </c>
      <c r="J234" s="188">
        <v>0</v>
      </c>
      <c r="K234" s="188">
        <v>6423288.4199999999</v>
      </c>
    </row>
    <row r="235" spans="1:11" x14ac:dyDescent="0.25">
      <c r="A235" s="186" t="s">
        <v>352</v>
      </c>
      <c r="B235" s="187" t="s">
        <v>353</v>
      </c>
      <c r="C235" s="188">
        <v>4244328.25</v>
      </c>
      <c r="D235" s="188">
        <v>0</v>
      </c>
      <c r="E235" s="188">
        <v>4534780.53</v>
      </c>
      <c r="F235" s="188">
        <v>0</v>
      </c>
      <c r="G235" s="188">
        <v>4985969.09</v>
      </c>
      <c r="H235" s="188">
        <v>0</v>
      </c>
      <c r="I235" s="188">
        <v>5504787.3799999999</v>
      </c>
      <c r="J235" s="188">
        <v>0</v>
      </c>
      <c r="K235" s="188">
        <v>19269865.25</v>
      </c>
    </row>
    <row r="236" spans="1:11" x14ac:dyDescent="0.25">
      <c r="A236" s="186" t="s">
        <v>354</v>
      </c>
      <c r="B236" s="187" t="s">
        <v>355</v>
      </c>
      <c r="C236" s="188">
        <v>5659104.3300000001</v>
      </c>
      <c r="D236" s="188">
        <v>0</v>
      </c>
      <c r="E236" s="188">
        <v>6046374.04</v>
      </c>
      <c r="F236" s="188">
        <v>0</v>
      </c>
      <c r="G236" s="188">
        <v>6647958.79</v>
      </c>
      <c r="H236" s="188">
        <v>0</v>
      </c>
      <c r="I236" s="188">
        <v>7339716.5099999998</v>
      </c>
      <c r="J236" s="188">
        <v>0</v>
      </c>
      <c r="K236" s="188">
        <v>25693153.670000002</v>
      </c>
    </row>
    <row r="237" spans="1:11" x14ac:dyDescent="0.25">
      <c r="A237" s="186" t="s">
        <v>356</v>
      </c>
      <c r="B237" s="187" t="s">
        <v>357</v>
      </c>
      <c r="C237" s="188">
        <v>1268281.42</v>
      </c>
      <c r="D237" s="188">
        <v>0</v>
      </c>
      <c r="E237" s="188">
        <v>967433.79</v>
      </c>
      <c r="F237" s="188">
        <v>0</v>
      </c>
      <c r="G237" s="188">
        <v>1105107.97</v>
      </c>
      <c r="H237" s="188">
        <v>0</v>
      </c>
      <c r="I237" s="188">
        <v>1123578.1499999999</v>
      </c>
      <c r="J237" s="188">
        <v>0</v>
      </c>
      <c r="K237" s="188">
        <v>4464401.33</v>
      </c>
    </row>
    <row r="238" spans="1:11" x14ac:dyDescent="0.25">
      <c r="A238" s="186" t="s">
        <v>358</v>
      </c>
      <c r="B238" s="187" t="s">
        <v>359</v>
      </c>
      <c r="C238" s="188">
        <v>1268281.42</v>
      </c>
      <c r="D238" s="188">
        <v>0</v>
      </c>
      <c r="E238" s="188">
        <v>967433.79</v>
      </c>
      <c r="F238" s="188">
        <v>0</v>
      </c>
      <c r="G238" s="188">
        <v>1105107.97</v>
      </c>
      <c r="H238" s="188">
        <v>0</v>
      </c>
      <c r="I238" s="188">
        <v>1123578.1499999999</v>
      </c>
      <c r="J238" s="188">
        <v>0</v>
      </c>
      <c r="K238" s="188">
        <v>4464401.33</v>
      </c>
    </row>
    <row r="239" spans="1:11" x14ac:dyDescent="0.25">
      <c r="A239" s="186" t="s">
        <v>360</v>
      </c>
      <c r="B239" s="187" t="s">
        <v>361</v>
      </c>
      <c r="C239" s="188">
        <v>760968.85</v>
      </c>
      <c r="D239" s="188">
        <v>0</v>
      </c>
      <c r="E239" s="188">
        <v>580460.27</v>
      </c>
      <c r="F239" s="188">
        <v>0</v>
      </c>
      <c r="G239" s="188">
        <v>663064.78</v>
      </c>
      <c r="H239" s="188">
        <v>0</v>
      </c>
      <c r="I239" s="188">
        <v>674146.89</v>
      </c>
      <c r="J239" s="188">
        <v>0</v>
      </c>
      <c r="K239" s="188">
        <v>2678640.79</v>
      </c>
    </row>
    <row r="240" spans="1:11" x14ac:dyDescent="0.25">
      <c r="A240" s="186" t="s">
        <v>362</v>
      </c>
      <c r="B240" s="187" t="s">
        <v>363</v>
      </c>
      <c r="C240" s="188">
        <v>317070.36</v>
      </c>
      <c r="D240" s="188">
        <v>0</v>
      </c>
      <c r="E240" s="188">
        <v>241858.45</v>
      </c>
      <c r="F240" s="188">
        <v>0</v>
      </c>
      <c r="G240" s="188">
        <v>276276.99</v>
      </c>
      <c r="H240" s="188">
        <v>0</v>
      </c>
      <c r="I240" s="188">
        <v>280894.53999999998</v>
      </c>
      <c r="J240" s="188">
        <v>0</v>
      </c>
      <c r="K240" s="188">
        <v>1116100.3400000001</v>
      </c>
    </row>
    <row r="241" spans="1:11" x14ac:dyDescent="0.25">
      <c r="A241" s="186" t="s">
        <v>364</v>
      </c>
      <c r="B241" s="187" t="s">
        <v>365</v>
      </c>
      <c r="C241" s="188">
        <v>190242.21</v>
      </c>
      <c r="D241" s="188">
        <v>0</v>
      </c>
      <c r="E241" s="188">
        <v>145115.07</v>
      </c>
      <c r="F241" s="188">
        <v>0</v>
      </c>
      <c r="G241" s="188">
        <v>165766.20000000001</v>
      </c>
      <c r="H241" s="188">
        <v>0</v>
      </c>
      <c r="I241" s="188">
        <v>168536.72</v>
      </c>
      <c r="J241" s="188">
        <v>0</v>
      </c>
      <c r="K241" s="188">
        <v>669660.19999999995</v>
      </c>
    </row>
    <row r="242" spans="1:11" x14ac:dyDescent="0.25">
      <c r="A242" s="186" t="s">
        <v>366</v>
      </c>
      <c r="B242" s="187" t="s">
        <v>367</v>
      </c>
      <c r="C242" s="188">
        <v>1239869.25</v>
      </c>
      <c r="D242" s="188">
        <v>0</v>
      </c>
      <c r="E242" s="188">
        <v>948255.81</v>
      </c>
      <c r="F242" s="188">
        <v>0</v>
      </c>
      <c r="G242" s="188">
        <v>1083448.3400000001</v>
      </c>
      <c r="H242" s="188">
        <v>0</v>
      </c>
      <c r="I242" s="188">
        <v>1107323.51</v>
      </c>
      <c r="J242" s="188">
        <v>0</v>
      </c>
      <c r="K242" s="188">
        <v>4378896.91</v>
      </c>
    </row>
    <row r="243" spans="1:11" x14ac:dyDescent="0.25">
      <c r="A243" s="186" t="s">
        <v>368</v>
      </c>
      <c r="B243" s="187" t="s">
        <v>369</v>
      </c>
      <c r="C243" s="188">
        <v>1239869.25</v>
      </c>
      <c r="D243" s="188">
        <v>0</v>
      </c>
      <c r="E243" s="188">
        <v>948255.81</v>
      </c>
      <c r="F243" s="188">
        <v>0</v>
      </c>
      <c r="G243" s="188">
        <v>1083448.3400000001</v>
      </c>
      <c r="H243" s="188">
        <v>0</v>
      </c>
      <c r="I243" s="188">
        <v>1107323.51</v>
      </c>
      <c r="J243" s="188">
        <v>0</v>
      </c>
      <c r="K243" s="188">
        <v>4378896.91</v>
      </c>
    </row>
    <row r="244" spans="1:11" x14ac:dyDescent="0.25">
      <c r="A244" s="186" t="s">
        <v>370</v>
      </c>
      <c r="B244" s="187" t="s">
        <v>371</v>
      </c>
      <c r="C244" s="188">
        <v>743921.55</v>
      </c>
      <c r="D244" s="188">
        <v>0</v>
      </c>
      <c r="E244" s="188">
        <v>568953.49</v>
      </c>
      <c r="F244" s="188">
        <v>0</v>
      </c>
      <c r="G244" s="188">
        <v>650069</v>
      </c>
      <c r="H244" s="188">
        <v>0</v>
      </c>
      <c r="I244" s="188">
        <v>664394.1</v>
      </c>
      <c r="J244" s="188">
        <v>0</v>
      </c>
      <c r="K244" s="188">
        <v>2627338.14</v>
      </c>
    </row>
    <row r="245" spans="1:11" x14ac:dyDescent="0.25">
      <c r="A245" s="186" t="s">
        <v>372</v>
      </c>
      <c r="B245" s="187" t="s">
        <v>373</v>
      </c>
      <c r="C245" s="188">
        <v>309967.31</v>
      </c>
      <c r="D245" s="188">
        <v>0</v>
      </c>
      <c r="E245" s="188">
        <v>237063.95</v>
      </c>
      <c r="F245" s="188">
        <v>0</v>
      </c>
      <c r="G245" s="188">
        <v>270862.09000000003</v>
      </c>
      <c r="H245" s="188">
        <v>0</v>
      </c>
      <c r="I245" s="188">
        <v>276830.88</v>
      </c>
      <c r="J245" s="188">
        <v>0</v>
      </c>
      <c r="K245" s="188">
        <v>1094724.23</v>
      </c>
    </row>
    <row r="246" spans="1:11" x14ac:dyDescent="0.25">
      <c r="A246" s="186" t="s">
        <v>374</v>
      </c>
      <c r="B246" s="187" t="s">
        <v>375</v>
      </c>
      <c r="C246" s="188">
        <v>185980.39</v>
      </c>
      <c r="D246" s="188">
        <v>0</v>
      </c>
      <c r="E246" s="188">
        <v>142238.37</v>
      </c>
      <c r="F246" s="188">
        <v>0</v>
      </c>
      <c r="G246" s="188">
        <v>162517.25</v>
      </c>
      <c r="H246" s="188">
        <v>0</v>
      </c>
      <c r="I246" s="188">
        <v>166098.53</v>
      </c>
      <c r="J246" s="188">
        <v>0</v>
      </c>
      <c r="K246" s="188">
        <v>656834.54</v>
      </c>
    </row>
    <row r="247" spans="1:11" x14ac:dyDescent="0.25">
      <c r="A247" s="186" t="s">
        <v>376</v>
      </c>
      <c r="B247" s="187" t="s">
        <v>377</v>
      </c>
      <c r="C247" s="188">
        <v>1189699.26</v>
      </c>
      <c r="D247" s="188">
        <v>0</v>
      </c>
      <c r="E247" s="188">
        <v>937809.4</v>
      </c>
      <c r="F247" s="188">
        <v>0</v>
      </c>
      <c r="G247" s="188">
        <v>1079413.6100000001</v>
      </c>
      <c r="H247" s="188">
        <v>0</v>
      </c>
      <c r="I247" s="188">
        <v>1114756.08</v>
      </c>
      <c r="J247" s="188">
        <v>0</v>
      </c>
      <c r="K247" s="188">
        <v>4321678.3499999996</v>
      </c>
    </row>
    <row r="248" spans="1:11" x14ac:dyDescent="0.25">
      <c r="A248" s="186" t="s">
        <v>378</v>
      </c>
      <c r="B248" s="187" t="s">
        <v>379</v>
      </c>
      <c r="C248" s="188">
        <v>1189699.26</v>
      </c>
      <c r="D248" s="188">
        <v>0</v>
      </c>
      <c r="E248" s="188">
        <v>937809.4</v>
      </c>
      <c r="F248" s="188">
        <v>0</v>
      </c>
      <c r="G248" s="188">
        <v>1079413.6100000001</v>
      </c>
      <c r="H248" s="188">
        <v>0</v>
      </c>
      <c r="I248" s="188">
        <v>1114756.08</v>
      </c>
      <c r="J248" s="188">
        <v>0</v>
      </c>
      <c r="K248" s="188">
        <v>4321678.3499999996</v>
      </c>
    </row>
    <row r="249" spans="1:11" x14ac:dyDescent="0.25">
      <c r="A249" s="186" t="s">
        <v>380</v>
      </c>
      <c r="B249" s="187" t="s">
        <v>381</v>
      </c>
      <c r="C249" s="188">
        <v>713819.56</v>
      </c>
      <c r="D249" s="188">
        <v>0</v>
      </c>
      <c r="E249" s="188">
        <v>562685.64</v>
      </c>
      <c r="F249" s="188">
        <v>0</v>
      </c>
      <c r="G249" s="188">
        <v>647648.17000000004</v>
      </c>
      <c r="H249" s="188">
        <v>0</v>
      </c>
      <c r="I249" s="188">
        <v>668853.65</v>
      </c>
      <c r="J249" s="188">
        <v>0</v>
      </c>
      <c r="K249" s="188">
        <v>2593007.02</v>
      </c>
    </row>
    <row r="250" spans="1:11" x14ac:dyDescent="0.25">
      <c r="A250" s="186" t="s">
        <v>382</v>
      </c>
      <c r="B250" s="187" t="s">
        <v>383</v>
      </c>
      <c r="C250" s="188">
        <v>59484.959999999999</v>
      </c>
      <c r="D250" s="188">
        <v>0</v>
      </c>
      <c r="E250" s="188">
        <v>46890.47</v>
      </c>
      <c r="F250" s="188">
        <v>0</v>
      </c>
      <c r="G250" s="188">
        <v>53970.68</v>
      </c>
      <c r="H250" s="188">
        <v>0</v>
      </c>
      <c r="I250" s="188">
        <v>55737.8</v>
      </c>
      <c r="J250" s="188">
        <v>0</v>
      </c>
      <c r="K250" s="188">
        <v>216083.91</v>
      </c>
    </row>
    <row r="251" spans="1:11" x14ac:dyDescent="0.25">
      <c r="A251" s="186" t="s">
        <v>384</v>
      </c>
      <c r="B251" s="187" t="s">
        <v>385</v>
      </c>
      <c r="C251" s="188">
        <v>178454.89</v>
      </c>
      <c r="D251" s="188">
        <v>0</v>
      </c>
      <c r="E251" s="188">
        <v>140671.41</v>
      </c>
      <c r="F251" s="188">
        <v>0</v>
      </c>
      <c r="G251" s="188">
        <v>161912.04</v>
      </c>
      <c r="H251" s="188">
        <v>0</v>
      </c>
      <c r="I251" s="188">
        <v>167213.41</v>
      </c>
      <c r="J251" s="188">
        <v>0</v>
      </c>
      <c r="K251" s="188">
        <v>648251.75</v>
      </c>
    </row>
    <row r="253" spans="1:11" x14ac:dyDescent="0.25">
      <c r="A253" s="290" t="s">
        <v>192</v>
      </c>
      <c r="B253" s="290"/>
      <c r="C253" s="290" t="s">
        <v>193</v>
      </c>
      <c r="D253" s="290"/>
      <c r="E253" s="290"/>
      <c r="G253" s="183" t="s">
        <v>194</v>
      </c>
      <c r="I253" s="314" t="s">
        <v>195</v>
      </c>
      <c r="J253" s="314"/>
    </row>
    <row r="254" spans="1:11" x14ac:dyDescent="0.25">
      <c r="A254" s="307" t="s">
        <v>196</v>
      </c>
      <c r="B254" s="307"/>
      <c r="C254" s="307"/>
      <c r="D254" s="307"/>
      <c r="E254" s="307"/>
      <c r="F254" s="307"/>
      <c r="G254" s="307"/>
      <c r="H254" s="307"/>
    </row>
    <row r="255" spans="1:11" ht="15.75" x14ac:dyDescent="0.25">
      <c r="A255" s="308" t="s">
        <v>197</v>
      </c>
      <c r="B255" s="308"/>
      <c r="C255" s="310" t="s">
        <v>198</v>
      </c>
      <c r="D255" s="310"/>
      <c r="E255" s="310"/>
      <c r="F255" s="310"/>
      <c r="G255" s="310"/>
      <c r="H255" s="310"/>
      <c r="I255" s="310"/>
      <c r="J255" s="310"/>
      <c r="K255" s="310"/>
    </row>
    <row r="256" spans="1:11" ht="15.75" x14ac:dyDescent="0.25">
      <c r="A256" s="309"/>
      <c r="B256" s="309"/>
      <c r="C256" s="311">
        <v>2022</v>
      </c>
      <c r="D256" s="311"/>
      <c r="E256" s="311">
        <v>2023</v>
      </c>
      <c r="F256" s="311"/>
      <c r="G256" s="311">
        <v>2024</v>
      </c>
      <c r="H256" s="311"/>
      <c r="I256" s="311">
        <v>2025</v>
      </c>
      <c r="J256" s="311"/>
      <c r="K256" s="312" t="s">
        <v>90</v>
      </c>
    </row>
    <row r="257" spans="1:11" ht="15.75" x14ac:dyDescent="0.25">
      <c r="A257" s="308"/>
      <c r="B257" s="308"/>
      <c r="C257" s="184" t="s">
        <v>199</v>
      </c>
      <c r="D257" s="184" t="s">
        <v>200</v>
      </c>
      <c r="E257" s="184" t="s">
        <v>199</v>
      </c>
      <c r="F257" s="184" t="s">
        <v>200</v>
      </c>
      <c r="G257" s="184" t="s">
        <v>199</v>
      </c>
      <c r="H257" s="184" t="s">
        <v>200</v>
      </c>
      <c r="I257" s="184" t="s">
        <v>199</v>
      </c>
      <c r="J257" s="184" t="s">
        <v>200</v>
      </c>
      <c r="K257" s="313"/>
    </row>
    <row r="258" spans="1:11" x14ac:dyDescent="0.25">
      <c r="A258" s="186" t="s">
        <v>386</v>
      </c>
      <c r="B258" s="187" t="s">
        <v>387</v>
      </c>
      <c r="C258" s="188">
        <v>237939.85</v>
      </c>
      <c r="D258" s="188">
        <v>0</v>
      </c>
      <c r="E258" s="188">
        <v>187561.88</v>
      </c>
      <c r="F258" s="188">
        <v>0</v>
      </c>
      <c r="G258" s="188">
        <v>215882.72</v>
      </c>
      <c r="H258" s="188">
        <v>0</v>
      </c>
      <c r="I258" s="188">
        <v>222951.22</v>
      </c>
      <c r="J258" s="188">
        <v>0</v>
      </c>
      <c r="K258" s="188">
        <v>864335.67</v>
      </c>
    </row>
    <row r="259" spans="1:11" x14ac:dyDescent="0.25">
      <c r="A259" s="186" t="s">
        <v>793</v>
      </c>
      <c r="B259" s="187" t="s">
        <v>794</v>
      </c>
      <c r="C259" s="188">
        <v>568057.02</v>
      </c>
      <c r="D259" s="188">
        <v>0</v>
      </c>
      <c r="E259" s="188">
        <v>546110.56000000006</v>
      </c>
      <c r="F259" s="188">
        <v>0</v>
      </c>
      <c r="G259" s="188">
        <v>610486.67000000004</v>
      </c>
      <c r="H259" s="188">
        <v>0</v>
      </c>
      <c r="I259" s="188">
        <v>662948.91</v>
      </c>
      <c r="J259" s="188">
        <v>0</v>
      </c>
      <c r="K259" s="188">
        <v>2387603.16</v>
      </c>
    </row>
    <row r="260" spans="1:11" x14ac:dyDescent="0.25">
      <c r="A260" s="186" t="s">
        <v>795</v>
      </c>
      <c r="B260" s="187" t="s">
        <v>796</v>
      </c>
      <c r="C260" s="188">
        <v>143333.91</v>
      </c>
      <c r="D260" s="188">
        <v>0</v>
      </c>
      <c r="E260" s="188">
        <v>150282.53</v>
      </c>
      <c r="F260" s="188">
        <v>0</v>
      </c>
      <c r="G260" s="188">
        <v>180828.78</v>
      </c>
      <c r="H260" s="188">
        <v>0</v>
      </c>
      <c r="I260" s="188">
        <v>205731.55</v>
      </c>
      <c r="J260" s="188">
        <v>0</v>
      </c>
      <c r="K260" s="188">
        <v>680176.77</v>
      </c>
    </row>
    <row r="261" spans="1:11" x14ac:dyDescent="0.25">
      <c r="A261" s="186" t="s">
        <v>797</v>
      </c>
      <c r="B261" s="187" t="s">
        <v>798</v>
      </c>
      <c r="C261" s="188">
        <v>143333.91</v>
      </c>
      <c r="D261" s="188">
        <v>0</v>
      </c>
      <c r="E261" s="188">
        <v>150282.53</v>
      </c>
      <c r="F261" s="188">
        <v>0</v>
      </c>
      <c r="G261" s="188">
        <v>180828.78</v>
      </c>
      <c r="H261" s="188">
        <v>0</v>
      </c>
      <c r="I261" s="188">
        <v>205731.55</v>
      </c>
      <c r="J261" s="188">
        <v>0</v>
      </c>
      <c r="K261" s="188">
        <v>680176.77</v>
      </c>
    </row>
    <row r="262" spans="1:11" x14ac:dyDescent="0.25">
      <c r="A262" s="186" t="s">
        <v>799</v>
      </c>
      <c r="B262" s="187" t="s">
        <v>800</v>
      </c>
      <c r="C262" s="188">
        <v>424723.11</v>
      </c>
      <c r="D262" s="188">
        <v>0</v>
      </c>
      <c r="E262" s="188">
        <v>395828.03</v>
      </c>
      <c r="F262" s="188">
        <v>0</v>
      </c>
      <c r="G262" s="188">
        <v>429657.89</v>
      </c>
      <c r="H262" s="188">
        <v>0</v>
      </c>
      <c r="I262" s="188">
        <v>457217.36</v>
      </c>
      <c r="J262" s="188">
        <v>0</v>
      </c>
      <c r="K262" s="188">
        <v>1707426.39</v>
      </c>
    </row>
    <row r="263" spans="1:11" x14ac:dyDescent="0.25">
      <c r="A263" s="186" t="s">
        <v>801</v>
      </c>
      <c r="B263" s="187" t="s">
        <v>802</v>
      </c>
      <c r="C263" s="188">
        <v>424723.11</v>
      </c>
      <c r="D263" s="188">
        <v>0</v>
      </c>
      <c r="E263" s="188">
        <v>395828.03</v>
      </c>
      <c r="F263" s="188">
        <v>0</v>
      </c>
      <c r="G263" s="188">
        <v>429657.89</v>
      </c>
      <c r="H263" s="188">
        <v>0</v>
      </c>
      <c r="I263" s="188">
        <v>457217.36</v>
      </c>
      <c r="J263" s="188">
        <v>0</v>
      </c>
      <c r="K263" s="188">
        <v>1707426.39</v>
      </c>
    </row>
    <row r="264" spans="1:11" x14ac:dyDescent="0.25">
      <c r="A264" s="186" t="s">
        <v>803</v>
      </c>
      <c r="B264" s="187" t="s">
        <v>804</v>
      </c>
      <c r="C264" s="188">
        <v>4983885.7</v>
      </c>
      <c r="D264" s="188">
        <v>0</v>
      </c>
      <c r="E264" s="188">
        <v>4182088.62</v>
      </c>
      <c r="F264" s="188">
        <v>0</v>
      </c>
      <c r="G264" s="188">
        <v>4957251.53</v>
      </c>
      <c r="H264" s="188">
        <v>0</v>
      </c>
      <c r="I264" s="188">
        <v>4949058.04</v>
      </c>
      <c r="J264" s="188">
        <v>0</v>
      </c>
      <c r="K264" s="188">
        <v>19072283.890000001</v>
      </c>
    </row>
    <row r="265" spans="1:11" x14ac:dyDescent="0.25">
      <c r="A265" s="186" t="s">
        <v>805</v>
      </c>
      <c r="B265" s="187" t="s">
        <v>806</v>
      </c>
      <c r="C265" s="188">
        <v>4318587.5</v>
      </c>
      <c r="D265" s="188">
        <v>0</v>
      </c>
      <c r="E265" s="188">
        <v>3522245.94</v>
      </c>
      <c r="F265" s="188">
        <v>0</v>
      </c>
      <c r="G265" s="188">
        <v>4187725.11</v>
      </c>
      <c r="H265" s="188">
        <v>0</v>
      </c>
      <c r="I265" s="188">
        <v>4069339.9</v>
      </c>
      <c r="J265" s="188">
        <v>0</v>
      </c>
      <c r="K265" s="188">
        <v>16097898.449999999</v>
      </c>
    </row>
    <row r="266" spans="1:11" x14ac:dyDescent="0.25">
      <c r="A266" s="186" t="s">
        <v>807</v>
      </c>
      <c r="B266" s="187" t="s">
        <v>808</v>
      </c>
      <c r="C266" s="188">
        <v>4318587.5</v>
      </c>
      <c r="D266" s="188">
        <v>0</v>
      </c>
      <c r="E266" s="188">
        <v>3522245.94</v>
      </c>
      <c r="F266" s="188">
        <v>0</v>
      </c>
      <c r="G266" s="188">
        <v>4187725.11</v>
      </c>
      <c r="H266" s="188">
        <v>0</v>
      </c>
      <c r="I266" s="188">
        <v>4069339.9</v>
      </c>
      <c r="J266" s="188">
        <v>0</v>
      </c>
      <c r="K266" s="188">
        <v>16097898.449999999</v>
      </c>
    </row>
    <row r="267" spans="1:11" x14ac:dyDescent="0.25">
      <c r="A267" s="186" t="s">
        <v>809</v>
      </c>
      <c r="B267" s="187" t="s">
        <v>810</v>
      </c>
      <c r="C267" s="188">
        <v>4318587.5</v>
      </c>
      <c r="D267" s="188">
        <v>0</v>
      </c>
      <c r="E267" s="188">
        <v>3522245.94</v>
      </c>
      <c r="F267" s="188">
        <v>0</v>
      </c>
      <c r="G267" s="188">
        <v>4187725.11</v>
      </c>
      <c r="H267" s="188">
        <v>0</v>
      </c>
      <c r="I267" s="188">
        <v>4069339.9</v>
      </c>
      <c r="J267" s="188">
        <v>0</v>
      </c>
      <c r="K267" s="188">
        <v>16097898.449999999</v>
      </c>
    </row>
    <row r="268" spans="1:11" x14ac:dyDescent="0.25">
      <c r="A268" s="186" t="s">
        <v>811</v>
      </c>
      <c r="B268" s="187" t="s">
        <v>812</v>
      </c>
      <c r="C268" s="188">
        <v>4318587.5</v>
      </c>
      <c r="D268" s="188">
        <v>0</v>
      </c>
      <c r="E268" s="188">
        <v>3522245.94</v>
      </c>
      <c r="F268" s="188">
        <v>0</v>
      </c>
      <c r="G268" s="188">
        <v>4187725.11</v>
      </c>
      <c r="H268" s="188">
        <v>0</v>
      </c>
      <c r="I268" s="188">
        <v>4069339.9</v>
      </c>
      <c r="J268" s="188">
        <v>0</v>
      </c>
      <c r="K268" s="188">
        <v>16097898.449999999</v>
      </c>
    </row>
    <row r="269" spans="1:11" x14ac:dyDescent="0.25">
      <c r="A269" s="186" t="s">
        <v>529</v>
      </c>
      <c r="B269" s="187" t="s">
        <v>813</v>
      </c>
      <c r="C269" s="188">
        <v>4318587.5</v>
      </c>
      <c r="D269" s="188">
        <v>0</v>
      </c>
      <c r="E269" s="188">
        <v>3522245.94</v>
      </c>
      <c r="F269" s="188">
        <v>0</v>
      </c>
      <c r="G269" s="188">
        <v>4187725.11</v>
      </c>
      <c r="H269" s="188">
        <v>0</v>
      </c>
      <c r="I269" s="188">
        <v>4069339.9</v>
      </c>
      <c r="J269" s="188">
        <v>0</v>
      </c>
      <c r="K269" s="188">
        <v>16097898.449999999</v>
      </c>
    </row>
    <row r="270" spans="1:11" x14ac:dyDescent="0.25">
      <c r="A270" s="186" t="s">
        <v>814</v>
      </c>
      <c r="B270" s="187" t="s">
        <v>815</v>
      </c>
      <c r="C270" s="188">
        <v>176432.83</v>
      </c>
      <c r="D270" s="188">
        <v>0</v>
      </c>
      <c r="E270" s="188">
        <v>176111.68</v>
      </c>
      <c r="F270" s="188">
        <v>0</v>
      </c>
      <c r="G270" s="188">
        <v>237805.02</v>
      </c>
      <c r="H270" s="188">
        <v>0</v>
      </c>
      <c r="I270" s="188">
        <v>302675.37</v>
      </c>
      <c r="J270" s="188">
        <v>0</v>
      </c>
      <c r="K270" s="188">
        <v>893024.9</v>
      </c>
    </row>
    <row r="271" spans="1:11" x14ac:dyDescent="0.25">
      <c r="A271" s="186" t="s">
        <v>816</v>
      </c>
      <c r="B271" s="187" t="s">
        <v>817</v>
      </c>
      <c r="C271" s="188">
        <v>176432.83</v>
      </c>
      <c r="D271" s="188">
        <v>0</v>
      </c>
      <c r="E271" s="188">
        <v>176111.68</v>
      </c>
      <c r="F271" s="188">
        <v>0</v>
      </c>
      <c r="G271" s="188">
        <v>237805.02</v>
      </c>
      <c r="H271" s="188">
        <v>0</v>
      </c>
      <c r="I271" s="188">
        <v>302675.37</v>
      </c>
      <c r="J271" s="188">
        <v>0</v>
      </c>
      <c r="K271" s="188">
        <v>893024.9</v>
      </c>
    </row>
    <row r="272" spans="1:11" x14ac:dyDescent="0.25">
      <c r="A272" s="186" t="s">
        <v>818</v>
      </c>
      <c r="B272" s="187" t="s">
        <v>819</v>
      </c>
      <c r="C272" s="188">
        <v>176432.83</v>
      </c>
      <c r="D272" s="188">
        <v>0</v>
      </c>
      <c r="E272" s="188">
        <v>176111.68</v>
      </c>
      <c r="F272" s="188">
        <v>0</v>
      </c>
      <c r="G272" s="188">
        <v>237805.02</v>
      </c>
      <c r="H272" s="188">
        <v>0</v>
      </c>
      <c r="I272" s="188">
        <v>302675.37</v>
      </c>
      <c r="J272" s="188">
        <v>0</v>
      </c>
      <c r="K272" s="188">
        <v>893024.9</v>
      </c>
    </row>
    <row r="273" spans="1:11" x14ac:dyDescent="0.25">
      <c r="A273" s="186" t="s">
        <v>820</v>
      </c>
      <c r="B273" s="187" t="s">
        <v>821</v>
      </c>
      <c r="C273" s="188">
        <v>193352.25</v>
      </c>
      <c r="D273" s="188">
        <v>0</v>
      </c>
      <c r="E273" s="188">
        <v>181825.28</v>
      </c>
      <c r="F273" s="188">
        <v>0</v>
      </c>
      <c r="G273" s="188">
        <v>202229.15</v>
      </c>
      <c r="H273" s="188">
        <v>0</v>
      </c>
      <c r="I273" s="188">
        <v>212216.33</v>
      </c>
      <c r="J273" s="188">
        <v>0</v>
      </c>
      <c r="K273" s="188">
        <v>789623.01</v>
      </c>
    </row>
    <row r="274" spans="1:11" x14ac:dyDescent="0.25">
      <c r="A274" s="186" t="s">
        <v>822</v>
      </c>
      <c r="B274" s="187" t="s">
        <v>823</v>
      </c>
      <c r="C274" s="188">
        <v>193352.25</v>
      </c>
      <c r="D274" s="188">
        <v>0</v>
      </c>
      <c r="E274" s="188">
        <v>181825.28</v>
      </c>
      <c r="F274" s="188">
        <v>0</v>
      </c>
      <c r="G274" s="188">
        <v>202229.15</v>
      </c>
      <c r="H274" s="188">
        <v>0</v>
      </c>
      <c r="I274" s="188">
        <v>212216.33</v>
      </c>
      <c r="J274" s="188">
        <v>0</v>
      </c>
      <c r="K274" s="188">
        <v>789623.01</v>
      </c>
    </row>
    <row r="275" spans="1:11" x14ac:dyDescent="0.25">
      <c r="A275" s="186" t="s">
        <v>824</v>
      </c>
      <c r="B275" s="187" t="s">
        <v>825</v>
      </c>
      <c r="C275" s="188">
        <v>193352.25</v>
      </c>
      <c r="D275" s="188">
        <v>0</v>
      </c>
      <c r="E275" s="188">
        <v>180602.79</v>
      </c>
      <c r="F275" s="188">
        <v>0</v>
      </c>
      <c r="G275" s="188">
        <v>201006.66</v>
      </c>
      <c r="H275" s="188">
        <v>0</v>
      </c>
      <c r="I275" s="188">
        <v>210546.44</v>
      </c>
      <c r="J275" s="188">
        <v>0</v>
      </c>
      <c r="K275" s="188">
        <v>785508.14</v>
      </c>
    </row>
    <row r="276" spans="1:11" x14ac:dyDescent="0.25">
      <c r="A276" s="186" t="s">
        <v>826</v>
      </c>
      <c r="B276" s="187" t="s">
        <v>827</v>
      </c>
      <c r="C276" s="188">
        <v>0</v>
      </c>
      <c r="D276" s="188">
        <v>0</v>
      </c>
      <c r="E276" s="188">
        <v>1222.49</v>
      </c>
      <c r="F276" s="188">
        <v>0</v>
      </c>
      <c r="G276" s="188">
        <v>1222.49</v>
      </c>
      <c r="H276" s="188">
        <v>0</v>
      </c>
      <c r="I276" s="188">
        <v>1669.89</v>
      </c>
      <c r="J276" s="188">
        <v>0</v>
      </c>
      <c r="K276" s="188">
        <v>4114.87</v>
      </c>
    </row>
    <row r="277" spans="1:11" x14ac:dyDescent="0.25">
      <c r="A277" s="186" t="s">
        <v>828</v>
      </c>
      <c r="B277" s="187" t="s">
        <v>829</v>
      </c>
      <c r="C277" s="188">
        <v>295513.12</v>
      </c>
      <c r="D277" s="188">
        <v>0</v>
      </c>
      <c r="E277" s="188">
        <v>301905.71999999997</v>
      </c>
      <c r="F277" s="188">
        <v>0</v>
      </c>
      <c r="G277" s="188">
        <v>329492.25</v>
      </c>
      <c r="H277" s="188">
        <v>0</v>
      </c>
      <c r="I277" s="188">
        <v>364826.44</v>
      </c>
      <c r="J277" s="188">
        <v>0</v>
      </c>
      <c r="K277" s="188">
        <v>1291737.53</v>
      </c>
    </row>
    <row r="278" spans="1:11" x14ac:dyDescent="0.25">
      <c r="A278" s="186" t="s">
        <v>830</v>
      </c>
      <c r="B278" s="187" t="s">
        <v>831</v>
      </c>
      <c r="C278" s="188">
        <v>295513.12</v>
      </c>
      <c r="D278" s="188">
        <v>0</v>
      </c>
      <c r="E278" s="188">
        <v>301905.71999999997</v>
      </c>
      <c r="F278" s="188">
        <v>0</v>
      </c>
      <c r="G278" s="188">
        <v>329492.25</v>
      </c>
      <c r="H278" s="188">
        <v>0</v>
      </c>
      <c r="I278" s="188">
        <v>364826.44</v>
      </c>
      <c r="J278" s="188">
        <v>0</v>
      </c>
      <c r="K278" s="188">
        <v>1291737.53</v>
      </c>
    </row>
    <row r="279" spans="1:11" x14ac:dyDescent="0.25">
      <c r="A279" s="186" t="s">
        <v>832</v>
      </c>
      <c r="B279" s="187" t="s">
        <v>833</v>
      </c>
      <c r="C279" s="188">
        <v>295513.12</v>
      </c>
      <c r="D279" s="188">
        <v>0</v>
      </c>
      <c r="E279" s="188">
        <v>301905.71999999997</v>
      </c>
      <c r="F279" s="188">
        <v>0</v>
      </c>
      <c r="G279" s="188">
        <v>329492.25</v>
      </c>
      <c r="H279" s="188">
        <v>0</v>
      </c>
      <c r="I279" s="188">
        <v>364826.44</v>
      </c>
      <c r="J279" s="188">
        <v>0</v>
      </c>
      <c r="K279" s="188">
        <v>1291737.53</v>
      </c>
    </row>
    <row r="280" spans="1:11" x14ac:dyDescent="0.25">
      <c r="A280" s="186" t="s">
        <v>834</v>
      </c>
      <c r="B280" s="187" t="s">
        <v>835</v>
      </c>
      <c r="C280" s="188">
        <v>311004.44</v>
      </c>
      <c r="D280" s="188">
        <v>0</v>
      </c>
      <c r="E280" s="188">
        <v>310438.34000000003</v>
      </c>
      <c r="F280" s="188">
        <v>0</v>
      </c>
      <c r="G280" s="188">
        <v>243766.22</v>
      </c>
      <c r="H280" s="188">
        <v>0</v>
      </c>
      <c r="I280" s="188">
        <v>221365.68</v>
      </c>
      <c r="J280" s="188">
        <v>0</v>
      </c>
      <c r="K280" s="188">
        <v>1086574.68</v>
      </c>
    </row>
    <row r="281" spans="1:11" x14ac:dyDescent="0.25">
      <c r="A281" s="186" t="s">
        <v>836</v>
      </c>
      <c r="B281" s="187" t="s">
        <v>837</v>
      </c>
      <c r="C281" s="188">
        <v>155502.22</v>
      </c>
      <c r="D281" s="188">
        <v>0</v>
      </c>
      <c r="E281" s="188">
        <v>155219.17000000001</v>
      </c>
      <c r="F281" s="188">
        <v>0</v>
      </c>
      <c r="G281" s="188">
        <v>121883.11</v>
      </c>
      <c r="H281" s="188">
        <v>0</v>
      </c>
      <c r="I281" s="188">
        <v>110682.84</v>
      </c>
      <c r="J281" s="188">
        <v>0</v>
      </c>
      <c r="K281" s="188">
        <v>543287.34</v>
      </c>
    </row>
    <row r="282" spans="1:11" x14ac:dyDescent="0.25">
      <c r="A282" s="186" t="s">
        <v>838</v>
      </c>
      <c r="B282" s="187" t="s">
        <v>839</v>
      </c>
      <c r="C282" s="188">
        <v>155502.22</v>
      </c>
      <c r="D282" s="188">
        <v>0</v>
      </c>
      <c r="E282" s="188">
        <v>155219.17000000001</v>
      </c>
      <c r="F282" s="188">
        <v>0</v>
      </c>
      <c r="G282" s="188">
        <v>121883.11</v>
      </c>
      <c r="H282" s="188">
        <v>0</v>
      </c>
      <c r="I282" s="188">
        <v>110682.84</v>
      </c>
      <c r="J282" s="188">
        <v>0</v>
      </c>
      <c r="K282" s="188">
        <v>543287.34</v>
      </c>
    </row>
    <row r="283" spans="1:11" x14ac:dyDescent="0.25">
      <c r="A283" s="186" t="s">
        <v>840</v>
      </c>
      <c r="B283" s="187" t="s">
        <v>841</v>
      </c>
      <c r="C283" s="188">
        <v>155502.22</v>
      </c>
      <c r="D283" s="188">
        <v>0</v>
      </c>
      <c r="E283" s="188">
        <v>155219.17000000001</v>
      </c>
      <c r="F283" s="188">
        <v>0</v>
      </c>
      <c r="G283" s="188">
        <v>121883.11</v>
      </c>
      <c r="H283" s="188">
        <v>0</v>
      </c>
      <c r="I283" s="188">
        <v>110682.84</v>
      </c>
      <c r="J283" s="188">
        <v>0</v>
      </c>
      <c r="K283" s="188">
        <v>543287.34</v>
      </c>
    </row>
    <row r="284" spans="1:11" x14ac:dyDescent="0.25">
      <c r="A284" s="186" t="s">
        <v>842</v>
      </c>
      <c r="B284" s="187" t="s">
        <v>843</v>
      </c>
      <c r="C284" s="188">
        <v>155502.22</v>
      </c>
      <c r="D284" s="188">
        <v>0</v>
      </c>
      <c r="E284" s="188">
        <v>155219.17000000001</v>
      </c>
      <c r="F284" s="188">
        <v>0</v>
      </c>
      <c r="G284" s="188">
        <v>121883.11</v>
      </c>
      <c r="H284" s="188">
        <v>0</v>
      </c>
      <c r="I284" s="188">
        <v>110682.84</v>
      </c>
      <c r="J284" s="188">
        <v>0</v>
      </c>
      <c r="K284" s="188">
        <v>543287.34</v>
      </c>
    </row>
    <row r="285" spans="1:11" x14ac:dyDescent="0.25">
      <c r="A285" s="186" t="s">
        <v>844</v>
      </c>
      <c r="B285" s="187" t="s">
        <v>845</v>
      </c>
      <c r="C285" s="188">
        <v>155502.22</v>
      </c>
      <c r="D285" s="188">
        <v>0</v>
      </c>
      <c r="E285" s="188">
        <v>155219.17000000001</v>
      </c>
      <c r="F285" s="188">
        <v>0</v>
      </c>
      <c r="G285" s="188">
        <v>121883.11</v>
      </c>
      <c r="H285" s="188">
        <v>0</v>
      </c>
      <c r="I285" s="188">
        <v>110682.84</v>
      </c>
      <c r="J285" s="188">
        <v>0</v>
      </c>
      <c r="K285" s="188">
        <v>543287.34</v>
      </c>
    </row>
    <row r="286" spans="1:11" x14ac:dyDescent="0.25">
      <c r="A286" s="186" t="s">
        <v>846</v>
      </c>
      <c r="B286" s="187" t="s">
        <v>847</v>
      </c>
      <c r="C286" s="188">
        <v>155502.22</v>
      </c>
      <c r="D286" s="188">
        <v>0</v>
      </c>
      <c r="E286" s="188">
        <v>155219.17000000001</v>
      </c>
      <c r="F286" s="188">
        <v>0</v>
      </c>
      <c r="G286" s="188">
        <v>121883.11</v>
      </c>
      <c r="H286" s="188">
        <v>0</v>
      </c>
      <c r="I286" s="188">
        <v>110682.84</v>
      </c>
      <c r="J286" s="188">
        <v>0</v>
      </c>
      <c r="K286" s="188">
        <v>543287.34</v>
      </c>
    </row>
    <row r="288" spans="1:11" x14ac:dyDescent="0.25">
      <c r="A288" s="290" t="s">
        <v>192</v>
      </c>
      <c r="B288" s="290"/>
      <c r="C288" s="290" t="s">
        <v>193</v>
      </c>
      <c r="D288" s="290"/>
      <c r="E288" s="290"/>
      <c r="G288" s="183" t="s">
        <v>194</v>
      </c>
      <c r="I288" s="314" t="s">
        <v>195</v>
      </c>
      <c r="J288" s="314"/>
    </row>
    <row r="289" spans="1:11" x14ac:dyDescent="0.25">
      <c r="A289" s="307" t="s">
        <v>196</v>
      </c>
      <c r="B289" s="307"/>
      <c r="C289" s="307"/>
      <c r="D289" s="307"/>
      <c r="E289" s="307"/>
      <c r="F289" s="307"/>
      <c r="G289" s="307"/>
      <c r="H289" s="307"/>
    </row>
    <row r="290" spans="1:11" ht="15.75" x14ac:dyDescent="0.25">
      <c r="A290" s="308" t="s">
        <v>197</v>
      </c>
      <c r="B290" s="308"/>
      <c r="C290" s="310" t="s">
        <v>198</v>
      </c>
      <c r="D290" s="310"/>
      <c r="E290" s="310"/>
      <c r="F290" s="310"/>
      <c r="G290" s="310"/>
      <c r="H290" s="310"/>
      <c r="I290" s="310"/>
      <c r="J290" s="310"/>
      <c r="K290" s="310"/>
    </row>
    <row r="291" spans="1:11" ht="15.75" x14ac:dyDescent="0.25">
      <c r="A291" s="309"/>
      <c r="B291" s="309"/>
      <c r="C291" s="311">
        <v>2022</v>
      </c>
      <c r="D291" s="311"/>
      <c r="E291" s="311">
        <v>2023</v>
      </c>
      <c r="F291" s="311"/>
      <c r="G291" s="311">
        <v>2024</v>
      </c>
      <c r="H291" s="311"/>
      <c r="I291" s="311">
        <v>2025</v>
      </c>
      <c r="J291" s="311"/>
      <c r="K291" s="312" t="s">
        <v>90</v>
      </c>
    </row>
    <row r="292" spans="1:11" ht="15.75" x14ac:dyDescent="0.25">
      <c r="A292" s="308"/>
      <c r="B292" s="308"/>
      <c r="C292" s="184" t="s">
        <v>199</v>
      </c>
      <c r="D292" s="184" t="s">
        <v>200</v>
      </c>
      <c r="E292" s="184" t="s">
        <v>199</v>
      </c>
      <c r="F292" s="184" t="s">
        <v>200</v>
      </c>
      <c r="G292" s="184" t="s">
        <v>199</v>
      </c>
      <c r="H292" s="184" t="s">
        <v>200</v>
      </c>
      <c r="I292" s="184" t="s">
        <v>199</v>
      </c>
      <c r="J292" s="184" t="s">
        <v>200</v>
      </c>
      <c r="K292" s="313"/>
    </row>
    <row r="293" spans="1:11" x14ac:dyDescent="0.25">
      <c r="A293" s="186" t="s">
        <v>848</v>
      </c>
      <c r="B293" s="187" t="s">
        <v>849</v>
      </c>
      <c r="C293" s="188">
        <v>2837008.68</v>
      </c>
      <c r="D293" s="188">
        <v>0</v>
      </c>
      <c r="E293" s="188">
        <v>2956065.76</v>
      </c>
      <c r="F293" s="188">
        <v>0</v>
      </c>
      <c r="G293" s="188">
        <v>3238897.55</v>
      </c>
      <c r="H293" s="188">
        <v>0</v>
      </c>
      <c r="I293" s="188">
        <v>3615966.28</v>
      </c>
      <c r="J293" s="188">
        <v>0</v>
      </c>
      <c r="K293" s="188">
        <v>12647938.27</v>
      </c>
    </row>
    <row r="294" spans="1:11" x14ac:dyDescent="0.25">
      <c r="A294" s="186" t="s">
        <v>850</v>
      </c>
      <c r="B294" s="187" t="s">
        <v>851</v>
      </c>
      <c r="C294" s="188">
        <v>1879759.72</v>
      </c>
      <c r="D294" s="188">
        <v>0</v>
      </c>
      <c r="E294" s="188">
        <v>2006551.08</v>
      </c>
      <c r="F294" s="188">
        <v>0</v>
      </c>
      <c r="G294" s="188">
        <v>2191009.4</v>
      </c>
      <c r="H294" s="188">
        <v>0</v>
      </c>
      <c r="I294" s="188">
        <v>2436953.87</v>
      </c>
      <c r="J294" s="188">
        <v>0</v>
      </c>
      <c r="K294" s="188">
        <v>8514274.0700000003</v>
      </c>
    </row>
    <row r="295" spans="1:11" x14ac:dyDescent="0.25">
      <c r="A295" s="186" t="s">
        <v>852</v>
      </c>
      <c r="B295" s="187" t="s">
        <v>853</v>
      </c>
      <c r="C295" s="188">
        <v>1879759.72</v>
      </c>
      <c r="D295" s="188">
        <v>0</v>
      </c>
      <c r="E295" s="188">
        <v>2006551.08</v>
      </c>
      <c r="F295" s="188">
        <v>0</v>
      </c>
      <c r="G295" s="188">
        <v>2191009.4</v>
      </c>
      <c r="H295" s="188">
        <v>0</v>
      </c>
      <c r="I295" s="188">
        <v>2436953.87</v>
      </c>
      <c r="J295" s="188">
        <v>0</v>
      </c>
      <c r="K295" s="188">
        <v>8514274.0700000003</v>
      </c>
    </row>
    <row r="296" spans="1:11" x14ac:dyDescent="0.25">
      <c r="A296" s="186" t="s">
        <v>854</v>
      </c>
      <c r="B296" s="187" t="s">
        <v>855</v>
      </c>
      <c r="C296" s="188">
        <v>708428.80000000005</v>
      </c>
      <c r="D296" s="188">
        <v>0</v>
      </c>
      <c r="E296" s="188">
        <v>675814.94</v>
      </c>
      <c r="F296" s="188">
        <v>0</v>
      </c>
      <c r="G296" s="188">
        <v>743944.17</v>
      </c>
      <c r="H296" s="188">
        <v>0</v>
      </c>
      <c r="I296" s="188">
        <v>834234.34</v>
      </c>
      <c r="J296" s="188">
        <v>0</v>
      </c>
      <c r="K296" s="188">
        <v>2962422.25</v>
      </c>
    </row>
    <row r="297" spans="1:11" x14ac:dyDescent="0.25">
      <c r="A297" s="186" t="s">
        <v>856</v>
      </c>
      <c r="B297" s="187" t="s">
        <v>857</v>
      </c>
      <c r="C297" s="188">
        <v>708428.80000000005</v>
      </c>
      <c r="D297" s="188">
        <v>0</v>
      </c>
      <c r="E297" s="188">
        <v>675814.94</v>
      </c>
      <c r="F297" s="188">
        <v>0</v>
      </c>
      <c r="G297" s="188">
        <v>743944.17</v>
      </c>
      <c r="H297" s="188">
        <v>0</v>
      </c>
      <c r="I297" s="188">
        <v>834234.34</v>
      </c>
      <c r="J297" s="188">
        <v>0</v>
      </c>
      <c r="K297" s="188">
        <v>2962422.25</v>
      </c>
    </row>
    <row r="298" spans="1:11" x14ac:dyDescent="0.25">
      <c r="A298" s="186" t="s">
        <v>858</v>
      </c>
      <c r="B298" s="187" t="s">
        <v>859</v>
      </c>
      <c r="C298" s="188">
        <v>269948.95</v>
      </c>
      <c r="D298" s="188">
        <v>0</v>
      </c>
      <c r="E298" s="188">
        <v>281947.15000000002</v>
      </c>
      <c r="F298" s="188">
        <v>0</v>
      </c>
      <c r="G298" s="188">
        <v>320764.98</v>
      </c>
      <c r="H298" s="188">
        <v>0</v>
      </c>
      <c r="I298" s="188">
        <v>352716.67</v>
      </c>
      <c r="J298" s="188">
        <v>0</v>
      </c>
      <c r="K298" s="188">
        <v>1225377.75</v>
      </c>
    </row>
    <row r="299" spans="1:11" x14ac:dyDescent="0.25">
      <c r="A299" s="186" t="s">
        <v>860</v>
      </c>
      <c r="B299" s="187" t="s">
        <v>861</v>
      </c>
      <c r="C299" s="188">
        <v>12213.99</v>
      </c>
      <c r="D299" s="188">
        <v>0</v>
      </c>
      <c r="E299" s="188">
        <v>10363</v>
      </c>
      <c r="F299" s="188">
        <v>0</v>
      </c>
      <c r="G299" s="188">
        <v>11443.18</v>
      </c>
      <c r="H299" s="188">
        <v>0</v>
      </c>
      <c r="I299" s="188">
        <v>12533.33</v>
      </c>
      <c r="J299" s="188">
        <v>0</v>
      </c>
      <c r="K299" s="188">
        <v>46553.5</v>
      </c>
    </row>
    <row r="300" spans="1:11" x14ac:dyDescent="0.25">
      <c r="A300" s="186" t="s">
        <v>862</v>
      </c>
      <c r="B300" s="187" t="s">
        <v>863</v>
      </c>
      <c r="C300" s="188">
        <v>129943.31</v>
      </c>
      <c r="D300" s="188">
        <v>0</v>
      </c>
      <c r="E300" s="188">
        <v>127085.69</v>
      </c>
      <c r="F300" s="188">
        <v>0</v>
      </c>
      <c r="G300" s="188">
        <v>145755.49</v>
      </c>
      <c r="H300" s="188">
        <v>0</v>
      </c>
      <c r="I300" s="188">
        <v>164241.39000000001</v>
      </c>
      <c r="J300" s="188">
        <v>0</v>
      </c>
      <c r="K300" s="188">
        <v>567025.88</v>
      </c>
    </row>
    <row r="301" spans="1:11" x14ac:dyDescent="0.25">
      <c r="A301" s="186" t="s">
        <v>864</v>
      </c>
      <c r="B301" s="187" t="s">
        <v>865</v>
      </c>
      <c r="C301" s="188">
        <v>147310.07999999999</v>
      </c>
      <c r="D301" s="188">
        <v>0</v>
      </c>
      <c r="E301" s="188">
        <v>157308.98000000001</v>
      </c>
      <c r="F301" s="188">
        <v>0</v>
      </c>
      <c r="G301" s="188">
        <v>175950.55</v>
      </c>
      <c r="H301" s="188">
        <v>0</v>
      </c>
      <c r="I301" s="188">
        <v>196959.96</v>
      </c>
      <c r="J301" s="188">
        <v>0</v>
      </c>
      <c r="K301" s="188">
        <v>677529.57</v>
      </c>
    </row>
    <row r="302" spans="1:11" x14ac:dyDescent="0.25">
      <c r="A302" s="186" t="s">
        <v>866</v>
      </c>
      <c r="B302" s="187" t="s">
        <v>867</v>
      </c>
      <c r="C302" s="188">
        <v>21578.05</v>
      </c>
      <c r="D302" s="188">
        <v>0</v>
      </c>
      <c r="E302" s="188">
        <v>22286.65</v>
      </c>
      <c r="F302" s="188">
        <v>0</v>
      </c>
      <c r="G302" s="188">
        <v>24663.64</v>
      </c>
      <c r="H302" s="188">
        <v>0</v>
      </c>
      <c r="I302" s="188">
        <v>28009.95</v>
      </c>
      <c r="J302" s="188">
        <v>0</v>
      </c>
      <c r="K302" s="188">
        <v>96538.29</v>
      </c>
    </row>
    <row r="303" spans="1:11" x14ac:dyDescent="0.25">
      <c r="A303" s="186" t="s">
        <v>868</v>
      </c>
      <c r="B303" s="187" t="s">
        <v>869</v>
      </c>
      <c r="C303" s="188">
        <v>127434.42</v>
      </c>
      <c r="D303" s="188">
        <v>0</v>
      </c>
      <c r="E303" s="188">
        <v>76823.47</v>
      </c>
      <c r="F303" s="188">
        <v>0</v>
      </c>
      <c r="G303" s="188">
        <v>65366.33</v>
      </c>
      <c r="H303" s="188">
        <v>0</v>
      </c>
      <c r="I303" s="188">
        <v>79773.039999999994</v>
      </c>
      <c r="J303" s="188">
        <v>0</v>
      </c>
      <c r="K303" s="188">
        <v>349397.26</v>
      </c>
    </row>
    <row r="304" spans="1:11" x14ac:dyDescent="0.25">
      <c r="A304" s="186" t="s">
        <v>870</v>
      </c>
      <c r="B304" s="187" t="s">
        <v>871</v>
      </c>
      <c r="C304" s="188">
        <v>248820.16</v>
      </c>
      <c r="D304" s="188">
        <v>0</v>
      </c>
      <c r="E304" s="188">
        <v>273699.74</v>
      </c>
      <c r="F304" s="188">
        <v>0</v>
      </c>
      <c r="G304" s="188">
        <v>303943.98</v>
      </c>
      <c r="H304" s="188">
        <v>0</v>
      </c>
      <c r="I304" s="188">
        <v>344778.07</v>
      </c>
      <c r="J304" s="188">
        <v>0</v>
      </c>
      <c r="K304" s="188">
        <v>1171241.95</v>
      </c>
    </row>
    <row r="305" spans="1:11" x14ac:dyDescent="0.25">
      <c r="A305" s="186" t="s">
        <v>872</v>
      </c>
      <c r="B305" s="187" t="s">
        <v>873</v>
      </c>
      <c r="C305" s="188">
        <v>248820.16</v>
      </c>
      <c r="D305" s="188">
        <v>0</v>
      </c>
      <c r="E305" s="188">
        <v>273699.74</v>
      </c>
      <c r="F305" s="188">
        <v>0</v>
      </c>
      <c r="G305" s="188">
        <v>303943.98</v>
      </c>
      <c r="H305" s="188">
        <v>0</v>
      </c>
      <c r="I305" s="188">
        <v>344778.07</v>
      </c>
      <c r="J305" s="188">
        <v>0</v>
      </c>
      <c r="K305" s="188">
        <v>1171241.95</v>
      </c>
    </row>
    <row r="306" spans="1:11" x14ac:dyDescent="0.25">
      <c r="A306" s="186" t="s">
        <v>874</v>
      </c>
      <c r="B306" s="187" t="s">
        <v>875</v>
      </c>
      <c r="C306" s="188">
        <v>13171.49</v>
      </c>
      <c r="D306" s="188">
        <v>0</v>
      </c>
      <c r="E306" s="188">
        <v>8990.3700000000008</v>
      </c>
      <c r="F306" s="188">
        <v>0</v>
      </c>
      <c r="G306" s="188">
        <v>9797.84</v>
      </c>
      <c r="H306" s="188">
        <v>0</v>
      </c>
      <c r="I306" s="188">
        <v>7894.33</v>
      </c>
      <c r="J306" s="188">
        <v>0</v>
      </c>
      <c r="K306" s="188">
        <v>39854.03</v>
      </c>
    </row>
    <row r="307" spans="1:11" x14ac:dyDescent="0.25">
      <c r="A307" s="186" t="s">
        <v>876</v>
      </c>
      <c r="B307" s="187" t="s">
        <v>877</v>
      </c>
      <c r="C307" s="188">
        <v>235648.67</v>
      </c>
      <c r="D307" s="188">
        <v>0</v>
      </c>
      <c r="E307" s="188">
        <v>264709.37</v>
      </c>
      <c r="F307" s="188">
        <v>0</v>
      </c>
      <c r="G307" s="188">
        <v>294146.14</v>
      </c>
      <c r="H307" s="188">
        <v>0</v>
      </c>
      <c r="I307" s="188">
        <v>336883.74</v>
      </c>
      <c r="J307" s="188">
        <v>0</v>
      </c>
      <c r="K307" s="188">
        <v>1131387.92</v>
      </c>
    </row>
    <row r="308" spans="1:11" x14ac:dyDescent="0.25">
      <c r="A308" s="186" t="s">
        <v>878</v>
      </c>
      <c r="B308" s="187" t="s">
        <v>879</v>
      </c>
      <c r="C308" s="188">
        <v>665444.97</v>
      </c>
      <c r="D308" s="188">
        <v>0</v>
      </c>
      <c r="E308" s="188">
        <v>572912.92000000004</v>
      </c>
      <c r="F308" s="188">
        <v>0</v>
      </c>
      <c r="G308" s="188">
        <v>691128.49</v>
      </c>
      <c r="H308" s="188">
        <v>0</v>
      </c>
      <c r="I308" s="188">
        <v>700563.87</v>
      </c>
      <c r="J308" s="188">
        <v>0</v>
      </c>
      <c r="K308" s="188">
        <v>2630050.25</v>
      </c>
    </row>
    <row r="309" spans="1:11" x14ac:dyDescent="0.25">
      <c r="A309" s="186" t="s">
        <v>880</v>
      </c>
      <c r="B309" s="187" t="s">
        <v>879</v>
      </c>
      <c r="C309" s="188">
        <v>665444.97</v>
      </c>
      <c r="D309" s="188">
        <v>0</v>
      </c>
      <c r="E309" s="188">
        <v>572912.92000000004</v>
      </c>
      <c r="F309" s="188">
        <v>0</v>
      </c>
      <c r="G309" s="188">
        <v>691128.49</v>
      </c>
      <c r="H309" s="188">
        <v>0</v>
      </c>
      <c r="I309" s="188">
        <v>700563.87</v>
      </c>
      <c r="J309" s="188">
        <v>0</v>
      </c>
      <c r="K309" s="188">
        <v>2630050.25</v>
      </c>
    </row>
    <row r="310" spans="1:11" x14ac:dyDescent="0.25">
      <c r="A310" s="186" t="s">
        <v>881</v>
      </c>
      <c r="B310" s="187" t="s">
        <v>882</v>
      </c>
      <c r="C310" s="188">
        <v>665444.97</v>
      </c>
      <c r="D310" s="188">
        <v>0</v>
      </c>
      <c r="E310" s="188">
        <v>572912.92000000004</v>
      </c>
      <c r="F310" s="188">
        <v>0</v>
      </c>
      <c r="G310" s="188">
        <v>691128.49</v>
      </c>
      <c r="H310" s="188">
        <v>0</v>
      </c>
      <c r="I310" s="188">
        <v>700563.87</v>
      </c>
      <c r="J310" s="188">
        <v>0</v>
      </c>
      <c r="K310" s="188">
        <v>2630050.25</v>
      </c>
    </row>
    <row r="311" spans="1:11" x14ac:dyDescent="0.25">
      <c r="A311" s="186" t="s">
        <v>883</v>
      </c>
      <c r="B311" s="187" t="s">
        <v>884</v>
      </c>
      <c r="C311" s="188">
        <v>144760.17000000001</v>
      </c>
      <c r="D311" s="188">
        <v>0</v>
      </c>
      <c r="E311" s="188">
        <v>107087.95</v>
      </c>
      <c r="F311" s="188">
        <v>0</v>
      </c>
      <c r="G311" s="188">
        <v>125528.75</v>
      </c>
      <c r="H311" s="188">
        <v>0</v>
      </c>
      <c r="I311" s="188">
        <v>142506.37</v>
      </c>
      <c r="J311" s="188">
        <v>0</v>
      </c>
      <c r="K311" s="188">
        <v>519883.24</v>
      </c>
    </row>
    <row r="312" spans="1:11" x14ac:dyDescent="0.25">
      <c r="A312" s="186" t="s">
        <v>885</v>
      </c>
      <c r="B312" s="187" t="s">
        <v>886</v>
      </c>
      <c r="C312" s="188">
        <v>83402.22</v>
      </c>
      <c r="D312" s="188">
        <v>0</v>
      </c>
      <c r="E312" s="188">
        <v>60209.9</v>
      </c>
      <c r="F312" s="188">
        <v>0</v>
      </c>
      <c r="G312" s="188">
        <v>71287.69</v>
      </c>
      <c r="H312" s="188">
        <v>0</v>
      </c>
      <c r="I312" s="188">
        <v>81853.789999999994</v>
      </c>
      <c r="J312" s="188">
        <v>0</v>
      </c>
      <c r="K312" s="188">
        <v>296753.59999999998</v>
      </c>
    </row>
    <row r="313" spans="1:11" x14ac:dyDescent="0.25">
      <c r="A313" s="186" t="s">
        <v>887</v>
      </c>
      <c r="B313" s="187" t="s">
        <v>888</v>
      </c>
      <c r="C313" s="188">
        <v>61357.95</v>
      </c>
      <c r="D313" s="188">
        <v>0</v>
      </c>
      <c r="E313" s="188">
        <v>46878.05</v>
      </c>
      <c r="F313" s="188">
        <v>0</v>
      </c>
      <c r="G313" s="188">
        <v>54241.06</v>
      </c>
      <c r="H313" s="188">
        <v>0</v>
      </c>
      <c r="I313" s="188">
        <v>60652.58</v>
      </c>
      <c r="J313" s="188">
        <v>0</v>
      </c>
      <c r="K313" s="188">
        <v>223129.64</v>
      </c>
    </row>
    <row r="314" spans="1:11" x14ac:dyDescent="0.25">
      <c r="A314" s="186" t="s">
        <v>889</v>
      </c>
      <c r="B314" s="187" t="s">
        <v>890</v>
      </c>
      <c r="C314" s="188">
        <v>61999.64</v>
      </c>
      <c r="D314" s="188">
        <v>0</v>
      </c>
      <c r="E314" s="188">
        <v>50500.66</v>
      </c>
      <c r="F314" s="188">
        <v>0</v>
      </c>
      <c r="G314" s="188">
        <v>48408.6</v>
      </c>
      <c r="H314" s="188">
        <v>0</v>
      </c>
      <c r="I314" s="188">
        <v>56055.24</v>
      </c>
      <c r="J314" s="188">
        <v>0</v>
      </c>
      <c r="K314" s="188">
        <v>216964.14</v>
      </c>
    </row>
    <row r="315" spans="1:11" x14ac:dyDescent="0.25">
      <c r="A315" s="186" t="s">
        <v>891</v>
      </c>
      <c r="B315" s="187" t="s">
        <v>892</v>
      </c>
      <c r="C315" s="188">
        <v>10345.69</v>
      </c>
      <c r="D315" s="188">
        <v>0</v>
      </c>
      <c r="E315" s="188">
        <v>14169.97</v>
      </c>
      <c r="F315" s="188">
        <v>0</v>
      </c>
      <c r="G315" s="188">
        <v>17819.62</v>
      </c>
      <c r="H315" s="188">
        <v>0</v>
      </c>
      <c r="I315" s="188">
        <v>18338.990000000002</v>
      </c>
      <c r="J315" s="188">
        <v>0</v>
      </c>
      <c r="K315" s="188">
        <v>60674.27</v>
      </c>
    </row>
    <row r="316" spans="1:11" x14ac:dyDescent="0.25">
      <c r="A316" s="186" t="s">
        <v>893</v>
      </c>
      <c r="B316" s="187" t="s">
        <v>894</v>
      </c>
      <c r="C316" s="188">
        <v>40660.300000000003</v>
      </c>
      <c r="D316" s="188">
        <v>0</v>
      </c>
      <c r="E316" s="188">
        <v>22806.63</v>
      </c>
      <c r="F316" s="188">
        <v>0</v>
      </c>
      <c r="G316" s="188">
        <v>17307.04</v>
      </c>
      <c r="H316" s="188">
        <v>0</v>
      </c>
      <c r="I316" s="188">
        <v>22607.71</v>
      </c>
      <c r="J316" s="188">
        <v>0</v>
      </c>
      <c r="K316" s="188">
        <v>103381.68</v>
      </c>
    </row>
    <row r="317" spans="1:11" x14ac:dyDescent="0.25">
      <c r="A317" s="186" t="s">
        <v>895</v>
      </c>
      <c r="B317" s="187" t="s">
        <v>896</v>
      </c>
      <c r="C317" s="188">
        <v>115086.03</v>
      </c>
      <c r="D317" s="188">
        <v>0</v>
      </c>
      <c r="E317" s="188">
        <v>93241.66</v>
      </c>
      <c r="F317" s="188">
        <v>0</v>
      </c>
      <c r="G317" s="188">
        <v>127463.02</v>
      </c>
      <c r="H317" s="188">
        <v>0</v>
      </c>
      <c r="I317" s="188">
        <v>113799.6</v>
      </c>
      <c r="J317" s="188">
        <v>0</v>
      </c>
      <c r="K317" s="188">
        <v>449590.31</v>
      </c>
    </row>
    <row r="318" spans="1:11" x14ac:dyDescent="0.25">
      <c r="A318" s="186" t="s">
        <v>897</v>
      </c>
      <c r="B318" s="187" t="s">
        <v>898</v>
      </c>
      <c r="C318" s="188">
        <v>60310.31</v>
      </c>
      <c r="D318" s="188">
        <v>0</v>
      </c>
      <c r="E318" s="188">
        <v>45253.87</v>
      </c>
      <c r="F318" s="188">
        <v>0</v>
      </c>
      <c r="G318" s="188">
        <v>61767.18</v>
      </c>
      <c r="H318" s="188">
        <v>0</v>
      </c>
      <c r="I318" s="188">
        <v>56048.4</v>
      </c>
      <c r="J318" s="188">
        <v>0</v>
      </c>
      <c r="K318" s="188">
        <v>223379.76</v>
      </c>
    </row>
    <row r="319" spans="1:11" x14ac:dyDescent="0.25">
      <c r="A319" s="186" t="s">
        <v>899</v>
      </c>
      <c r="B319" s="187" t="s">
        <v>900</v>
      </c>
      <c r="C319" s="188">
        <v>106641.87</v>
      </c>
      <c r="D319" s="188">
        <v>0</v>
      </c>
      <c r="E319" s="188">
        <v>84473.88</v>
      </c>
      <c r="F319" s="188">
        <v>0</v>
      </c>
      <c r="G319" s="188">
        <v>119130.75</v>
      </c>
      <c r="H319" s="188">
        <v>0</v>
      </c>
      <c r="I319" s="188">
        <v>102508.69</v>
      </c>
      <c r="J319" s="188">
        <v>0</v>
      </c>
      <c r="K319" s="188">
        <v>412755.19</v>
      </c>
    </row>
    <row r="320" spans="1:11" x14ac:dyDescent="0.25">
      <c r="A320" s="186" t="s">
        <v>901</v>
      </c>
      <c r="B320" s="187" t="s">
        <v>902</v>
      </c>
      <c r="C320" s="188">
        <v>138997.46</v>
      </c>
      <c r="D320" s="188">
        <v>0</v>
      </c>
      <c r="E320" s="188">
        <v>146039.60999999999</v>
      </c>
      <c r="F320" s="188">
        <v>0</v>
      </c>
      <c r="G320" s="188">
        <v>163344.09</v>
      </c>
      <c r="H320" s="188">
        <v>0</v>
      </c>
      <c r="I320" s="188">
        <v>177903.99</v>
      </c>
      <c r="J320" s="188">
        <v>0</v>
      </c>
      <c r="K320" s="188">
        <v>626285.15</v>
      </c>
    </row>
    <row r="321" spans="1:11" x14ac:dyDescent="0.25">
      <c r="A321" s="186" t="s">
        <v>903</v>
      </c>
      <c r="B321" s="187" t="s">
        <v>904</v>
      </c>
      <c r="C321" s="188">
        <v>37649.49</v>
      </c>
      <c r="D321" s="188">
        <v>0</v>
      </c>
      <c r="E321" s="188">
        <v>46315.29</v>
      </c>
      <c r="F321" s="188">
        <v>0</v>
      </c>
      <c r="G321" s="188">
        <v>45486.1</v>
      </c>
      <c r="H321" s="188">
        <v>0</v>
      </c>
      <c r="I321" s="188">
        <v>51741.58</v>
      </c>
      <c r="J321" s="188">
        <v>0</v>
      </c>
      <c r="K321" s="188">
        <v>181192.46</v>
      </c>
    </row>
    <row r="323" spans="1:11" x14ac:dyDescent="0.25">
      <c r="A323" s="290" t="s">
        <v>192</v>
      </c>
      <c r="B323" s="290"/>
      <c r="C323" s="290" t="s">
        <v>193</v>
      </c>
      <c r="D323" s="290"/>
      <c r="E323" s="290"/>
      <c r="G323" s="183" t="s">
        <v>194</v>
      </c>
      <c r="I323" s="314" t="s">
        <v>195</v>
      </c>
      <c r="J323" s="314"/>
    </row>
    <row r="324" spans="1:11" x14ac:dyDescent="0.25">
      <c r="A324" s="307" t="s">
        <v>196</v>
      </c>
      <c r="B324" s="307"/>
      <c r="C324" s="307"/>
      <c r="D324" s="307"/>
      <c r="E324" s="307"/>
      <c r="F324" s="307"/>
      <c r="G324" s="307"/>
      <c r="H324" s="307"/>
    </row>
    <row r="325" spans="1:11" ht="15.75" x14ac:dyDescent="0.25">
      <c r="A325" s="308" t="s">
        <v>197</v>
      </c>
      <c r="B325" s="308"/>
      <c r="C325" s="310" t="s">
        <v>198</v>
      </c>
      <c r="D325" s="310"/>
      <c r="E325" s="310"/>
      <c r="F325" s="310"/>
      <c r="G325" s="310"/>
      <c r="H325" s="310"/>
      <c r="I325" s="310"/>
      <c r="J325" s="310"/>
      <c r="K325" s="310"/>
    </row>
    <row r="326" spans="1:11" ht="15.75" x14ac:dyDescent="0.25">
      <c r="A326" s="309"/>
      <c r="B326" s="309"/>
      <c r="C326" s="311">
        <v>2022</v>
      </c>
      <c r="D326" s="311"/>
      <c r="E326" s="311">
        <v>2023</v>
      </c>
      <c r="F326" s="311"/>
      <c r="G326" s="311">
        <v>2024</v>
      </c>
      <c r="H326" s="311"/>
      <c r="I326" s="311">
        <v>2025</v>
      </c>
      <c r="J326" s="311"/>
      <c r="K326" s="312" t="s">
        <v>90</v>
      </c>
    </row>
    <row r="327" spans="1:11" ht="15.75" x14ac:dyDescent="0.25">
      <c r="A327" s="308"/>
      <c r="B327" s="308"/>
      <c r="C327" s="184" t="s">
        <v>199</v>
      </c>
      <c r="D327" s="184" t="s">
        <v>200</v>
      </c>
      <c r="E327" s="184" t="s">
        <v>199</v>
      </c>
      <c r="F327" s="184" t="s">
        <v>200</v>
      </c>
      <c r="G327" s="184" t="s">
        <v>199</v>
      </c>
      <c r="H327" s="184" t="s">
        <v>200</v>
      </c>
      <c r="I327" s="184" t="s">
        <v>199</v>
      </c>
      <c r="J327" s="184" t="s">
        <v>200</v>
      </c>
      <c r="K327" s="313"/>
    </row>
    <row r="328" spans="1:11" x14ac:dyDescent="0.25">
      <c r="A328" s="186" t="s">
        <v>388</v>
      </c>
      <c r="B328" s="187" t="s">
        <v>389</v>
      </c>
      <c r="C328" s="188">
        <v>46665537.509999998</v>
      </c>
      <c r="D328" s="188">
        <v>0</v>
      </c>
      <c r="E328" s="188">
        <v>49460606.469999999</v>
      </c>
      <c r="F328" s="188">
        <v>0</v>
      </c>
      <c r="G328" s="188">
        <v>54450560.359999999</v>
      </c>
      <c r="H328" s="188">
        <v>0</v>
      </c>
      <c r="I328" s="188">
        <v>59749482.280000001</v>
      </c>
      <c r="J328" s="188">
        <v>0</v>
      </c>
      <c r="K328" s="188">
        <v>210326186.62</v>
      </c>
    </row>
    <row r="329" spans="1:11" x14ac:dyDescent="0.25">
      <c r="A329" s="186" t="s">
        <v>390</v>
      </c>
      <c r="B329" s="187" t="s">
        <v>391</v>
      </c>
      <c r="C329" s="188">
        <v>46665537.509999998</v>
      </c>
      <c r="D329" s="188">
        <v>0</v>
      </c>
      <c r="E329" s="188">
        <v>49460606.469999999</v>
      </c>
      <c r="F329" s="188">
        <v>0</v>
      </c>
      <c r="G329" s="188">
        <v>54450560.359999999</v>
      </c>
      <c r="H329" s="188">
        <v>0</v>
      </c>
      <c r="I329" s="188">
        <v>59749482.280000001</v>
      </c>
      <c r="J329" s="188">
        <v>0</v>
      </c>
      <c r="K329" s="188">
        <v>210326186.62</v>
      </c>
    </row>
    <row r="330" spans="1:11" x14ac:dyDescent="0.25">
      <c r="A330" s="186" t="s">
        <v>392</v>
      </c>
      <c r="B330" s="187" t="s">
        <v>393</v>
      </c>
      <c r="C330" s="188">
        <v>42916264.710000001</v>
      </c>
      <c r="D330" s="188">
        <v>0</v>
      </c>
      <c r="E330" s="188">
        <v>45883690.460000001</v>
      </c>
      <c r="F330" s="188">
        <v>0</v>
      </c>
      <c r="G330" s="188">
        <v>50628268.270000003</v>
      </c>
      <c r="H330" s="188">
        <v>0</v>
      </c>
      <c r="I330" s="188">
        <v>55795780.899999999</v>
      </c>
      <c r="J330" s="188">
        <v>0</v>
      </c>
      <c r="K330" s="188">
        <v>195224004.34</v>
      </c>
    </row>
    <row r="331" spans="1:11" x14ac:dyDescent="0.25">
      <c r="A331" s="186" t="s">
        <v>394</v>
      </c>
      <c r="B331" s="187" t="s">
        <v>395</v>
      </c>
      <c r="C331" s="188">
        <v>38246796.359999999</v>
      </c>
      <c r="D331" s="188">
        <v>0</v>
      </c>
      <c r="E331" s="188">
        <v>40964127.289999999</v>
      </c>
      <c r="F331" s="188">
        <v>0</v>
      </c>
      <c r="G331" s="188">
        <v>45253500.149999999</v>
      </c>
      <c r="H331" s="188">
        <v>0</v>
      </c>
      <c r="I331" s="188">
        <v>49865498.719999999</v>
      </c>
      <c r="J331" s="188">
        <v>0</v>
      </c>
      <c r="K331" s="188">
        <v>174329922.52000001</v>
      </c>
    </row>
    <row r="332" spans="1:11" x14ac:dyDescent="0.25">
      <c r="A332" s="186" t="s">
        <v>396</v>
      </c>
      <c r="B332" s="187" t="s">
        <v>397</v>
      </c>
      <c r="C332" s="188">
        <v>38246796.359999999</v>
      </c>
      <c r="D332" s="188">
        <v>0</v>
      </c>
      <c r="E332" s="188">
        <v>40964127.289999999</v>
      </c>
      <c r="F332" s="188">
        <v>0</v>
      </c>
      <c r="G332" s="188">
        <v>45253500.149999999</v>
      </c>
      <c r="H332" s="188">
        <v>0</v>
      </c>
      <c r="I332" s="188">
        <v>49865498.719999999</v>
      </c>
      <c r="J332" s="188">
        <v>0</v>
      </c>
      <c r="K332" s="188">
        <v>174329922.52000001</v>
      </c>
    </row>
    <row r="333" spans="1:11" x14ac:dyDescent="0.25">
      <c r="A333" s="186" t="s">
        <v>398</v>
      </c>
      <c r="B333" s="187" t="s">
        <v>399</v>
      </c>
      <c r="C333" s="188">
        <v>22948077.82</v>
      </c>
      <c r="D333" s="188">
        <v>0</v>
      </c>
      <c r="E333" s="188">
        <v>24578476.379999999</v>
      </c>
      <c r="F333" s="188">
        <v>0</v>
      </c>
      <c r="G333" s="188">
        <v>27152100.09</v>
      </c>
      <c r="H333" s="188">
        <v>0</v>
      </c>
      <c r="I333" s="188">
        <v>29919299.23</v>
      </c>
      <c r="J333" s="188">
        <v>0</v>
      </c>
      <c r="K333" s="188">
        <v>104597953.52</v>
      </c>
    </row>
    <row r="334" spans="1:11" x14ac:dyDescent="0.25">
      <c r="A334" s="186" t="s">
        <v>400</v>
      </c>
      <c r="B334" s="187" t="s">
        <v>401</v>
      </c>
      <c r="C334" s="188">
        <v>1912339.82</v>
      </c>
      <c r="D334" s="188">
        <v>0</v>
      </c>
      <c r="E334" s="188">
        <v>2048206.36</v>
      </c>
      <c r="F334" s="188">
        <v>0</v>
      </c>
      <c r="G334" s="188">
        <v>2262675.0099999998</v>
      </c>
      <c r="H334" s="188">
        <v>0</v>
      </c>
      <c r="I334" s="188">
        <v>2493274.94</v>
      </c>
      <c r="J334" s="188">
        <v>0</v>
      </c>
      <c r="K334" s="188">
        <v>8716496.1300000008</v>
      </c>
    </row>
    <row r="335" spans="1:11" x14ac:dyDescent="0.25">
      <c r="A335" s="186" t="s">
        <v>402</v>
      </c>
      <c r="B335" s="187" t="s">
        <v>403</v>
      </c>
      <c r="C335" s="188">
        <v>5737019.4500000002</v>
      </c>
      <c r="D335" s="188">
        <v>0</v>
      </c>
      <c r="E335" s="188">
        <v>6144619.0899999999</v>
      </c>
      <c r="F335" s="188">
        <v>0</v>
      </c>
      <c r="G335" s="188">
        <v>6788025.0199999996</v>
      </c>
      <c r="H335" s="188">
        <v>0</v>
      </c>
      <c r="I335" s="188">
        <v>7479824.8099999996</v>
      </c>
      <c r="J335" s="188">
        <v>0</v>
      </c>
      <c r="K335" s="188">
        <v>26149488.370000001</v>
      </c>
    </row>
    <row r="336" spans="1:11" x14ac:dyDescent="0.25">
      <c r="A336" s="186" t="s">
        <v>404</v>
      </c>
      <c r="B336" s="187" t="s">
        <v>405</v>
      </c>
      <c r="C336" s="188">
        <v>7649359.2699999996</v>
      </c>
      <c r="D336" s="188">
        <v>0</v>
      </c>
      <c r="E336" s="188">
        <v>8192825.46</v>
      </c>
      <c r="F336" s="188">
        <v>0</v>
      </c>
      <c r="G336" s="188">
        <v>9050700.0299999993</v>
      </c>
      <c r="H336" s="188">
        <v>0</v>
      </c>
      <c r="I336" s="188">
        <v>9973099.7400000002</v>
      </c>
      <c r="J336" s="188">
        <v>0</v>
      </c>
      <c r="K336" s="188">
        <v>34865984.5</v>
      </c>
    </row>
    <row r="337" spans="1:11" x14ac:dyDescent="0.25">
      <c r="A337" s="186" t="s">
        <v>424</v>
      </c>
      <c r="B337" s="187" t="s">
        <v>425</v>
      </c>
      <c r="C337" s="188">
        <v>3902843.86</v>
      </c>
      <c r="D337" s="188">
        <v>0</v>
      </c>
      <c r="E337" s="188">
        <v>4178730.75</v>
      </c>
      <c r="F337" s="188">
        <v>0</v>
      </c>
      <c r="G337" s="188">
        <v>4567463.1900000004</v>
      </c>
      <c r="H337" s="188">
        <v>0</v>
      </c>
      <c r="I337" s="188">
        <v>5058335.12</v>
      </c>
      <c r="J337" s="188">
        <v>0</v>
      </c>
      <c r="K337" s="188">
        <v>17707372.920000002</v>
      </c>
    </row>
    <row r="338" spans="1:11" x14ac:dyDescent="0.25">
      <c r="A338" s="186" t="s">
        <v>426</v>
      </c>
      <c r="B338" s="187" t="s">
        <v>427</v>
      </c>
      <c r="C338" s="188">
        <v>3902843.86</v>
      </c>
      <c r="D338" s="188">
        <v>0</v>
      </c>
      <c r="E338" s="188">
        <v>4178730.75</v>
      </c>
      <c r="F338" s="188">
        <v>0</v>
      </c>
      <c r="G338" s="188">
        <v>4567463.1900000004</v>
      </c>
      <c r="H338" s="188">
        <v>0</v>
      </c>
      <c r="I338" s="188">
        <v>5058335.12</v>
      </c>
      <c r="J338" s="188">
        <v>0</v>
      </c>
      <c r="K338" s="188">
        <v>17707372.920000002</v>
      </c>
    </row>
    <row r="339" spans="1:11" x14ac:dyDescent="0.25">
      <c r="A339" s="186" t="s">
        <v>428</v>
      </c>
      <c r="B339" s="187" t="s">
        <v>429</v>
      </c>
      <c r="C339" s="188">
        <v>2341706.3199999998</v>
      </c>
      <c r="D339" s="188">
        <v>0</v>
      </c>
      <c r="E339" s="188">
        <v>2507238.4500000002</v>
      </c>
      <c r="F339" s="188">
        <v>0</v>
      </c>
      <c r="G339" s="188">
        <v>2740477.91</v>
      </c>
      <c r="H339" s="188">
        <v>0</v>
      </c>
      <c r="I339" s="188">
        <v>3035001.07</v>
      </c>
      <c r="J339" s="188">
        <v>0</v>
      </c>
      <c r="K339" s="188">
        <v>10624423.75</v>
      </c>
    </row>
    <row r="340" spans="1:11" x14ac:dyDescent="0.25">
      <c r="A340" s="186" t="s">
        <v>430</v>
      </c>
      <c r="B340" s="187" t="s">
        <v>431</v>
      </c>
      <c r="C340" s="188">
        <v>195142.19</v>
      </c>
      <c r="D340" s="188">
        <v>0</v>
      </c>
      <c r="E340" s="188">
        <v>208936.54</v>
      </c>
      <c r="F340" s="188">
        <v>0</v>
      </c>
      <c r="G340" s="188">
        <v>228373.16</v>
      </c>
      <c r="H340" s="188">
        <v>0</v>
      </c>
      <c r="I340" s="188">
        <v>252916.76</v>
      </c>
      <c r="J340" s="188">
        <v>0</v>
      </c>
      <c r="K340" s="188">
        <v>885368.65</v>
      </c>
    </row>
    <row r="341" spans="1:11" x14ac:dyDescent="0.25">
      <c r="A341" s="186" t="s">
        <v>432</v>
      </c>
      <c r="B341" s="187" t="s">
        <v>433</v>
      </c>
      <c r="C341" s="188">
        <v>585426.57999999996</v>
      </c>
      <c r="D341" s="188">
        <v>0</v>
      </c>
      <c r="E341" s="188">
        <v>626809.61</v>
      </c>
      <c r="F341" s="188">
        <v>0</v>
      </c>
      <c r="G341" s="188">
        <v>685119.48</v>
      </c>
      <c r="H341" s="188">
        <v>0</v>
      </c>
      <c r="I341" s="188">
        <v>758750.27</v>
      </c>
      <c r="J341" s="188">
        <v>0</v>
      </c>
      <c r="K341" s="188">
        <v>2656105.94</v>
      </c>
    </row>
    <row r="342" spans="1:11" x14ac:dyDescent="0.25">
      <c r="A342" s="186" t="s">
        <v>434</v>
      </c>
      <c r="B342" s="187" t="s">
        <v>435</v>
      </c>
      <c r="C342" s="188">
        <v>780568.77</v>
      </c>
      <c r="D342" s="188">
        <v>0</v>
      </c>
      <c r="E342" s="188">
        <v>835746.15</v>
      </c>
      <c r="F342" s="188">
        <v>0</v>
      </c>
      <c r="G342" s="188">
        <v>913492.64</v>
      </c>
      <c r="H342" s="188">
        <v>0</v>
      </c>
      <c r="I342" s="188">
        <v>1011667.02</v>
      </c>
      <c r="J342" s="188">
        <v>0</v>
      </c>
      <c r="K342" s="188">
        <v>3541474.58</v>
      </c>
    </row>
    <row r="343" spans="1:11" x14ac:dyDescent="0.25">
      <c r="A343" s="186" t="s">
        <v>406</v>
      </c>
      <c r="B343" s="187" t="s">
        <v>407</v>
      </c>
      <c r="C343" s="188">
        <v>561182.43000000005</v>
      </c>
      <c r="D343" s="188">
        <v>0</v>
      </c>
      <c r="E343" s="188">
        <v>586535.65</v>
      </c>
      <c r="F343" s="188">
        <v>0</v>
      </c>
      <c r="G343" s="188">
        <v>649980.23</v>
      </c>
      <c r="H343" s="188">
        <v>0</v>
      </c>
      <c r="I343" s="188">
        <v>710914.72</v>
      </c>
      <c r="J343" s="188">
        <v>0</v>
      </c>
      <c r="K343" s="188">
        <v>2508613.0299999998</v>
      </c>
    </row>
    <row r="344" spans="1:11" x14ac:dyDescent="0.25">
      <c r="A344" s="186" t="s">
        <v>408</v>
      </c>
      <c r="B344" s="187" t="s">
        <v>409</v>
      </c>
      <c r="C344" s="188">
        <v>561182.43000000005</v>
      </c>
      <c r="D344" s="188">
        <v>0</v>
      </c>
      <c r="E344" s="188">
        <v>586535.65</v>
      </c>
      <c r="F344" s="188">
        <v>0</v>
      </c>
      <c r="G344" s="188">
        <v>649980.23</v>
      </c>
      <c r="H344" s="188">
        <v>0</v>
      </c>
      <c r="I344" s="188">
        <v>710914.72</v>
      </c>
      <c r="J344" s="188">
        <v>0</v>
      </c>
      <c r="K344" s="188">
        <v>2508613.0299999998</v>
      </c>
    </row>
    <row r="345" spans="1:11" x14ac:dyDescent="0.25">
      <c r="A345" s="186" t="s">
        <v>410</v>
      </c>
      <c r="B345" s="187" t="s">
        <v>411</v>
      </c>
      <c r="C345" s="188">
        <v>336709.46</v>
      </c>
      <c r="D345" s="188">
        <v>0</v>
      </c>
      <c r="E345" s="188">
        <v>351921.39</v>
      </c>
      <c r="F345" s="188">
        <v>0</v>
      </c>
      <c r="G345" s="188">
        <v>389988.14</v>
      </c>
      <c r="H345" s="188">
        <v>0</v>
      </c>
      <c r="I345" s="188">
        <v>426548.83</v>
      </c>
      <c r="J345" s="188">
        <v>0</v>
      </c>
      <c r="K345" s="188">
        <v>1505167.82</v>
      </c>
    </row>
    <row r="346" spans="1:11" x14ac:dyDescent="0.25">
      <c r="A346" s="186" t="s">
        <v>412</v>
      </c>
      <c r="B346" s="187" t="s">
        <v>413</v>
      </c>
      <c r="C346" s="188">
        <v>28059.119999999999</v>
      </c>
      <c r="D346" s="188">
        <v>0</v>
      </c>
      <c r="E346" s="188">
        <v>29326.78</v>
      </c>
      <c r="F346" s="188">
        <v>0</v>
      </c>
      <c r="G346" s="188">
        <v>32499.01</v>
      </c>
      <c r="H346" s="188">
        <v>0</v>
      </c>
      <c r="I346" s="188">
        <v>35545.74</v>
      </c>
      <c r="J346" s="188">
        <v>0</v>
      </c>
      <c r="K346" s="188">
        <v>125430.65</v>
      </c>
    </row>
    <row r="347" spans="1:11" x14ac:dyDescent="0.25">
      <c r="A347" s="186" t="s">
        <v>414</v>
      </c>
      <c r="B347" s="187" t="s">
        <v>415</v>
      </c>
      <c r="C347" s="188">
        <v>84177.36</v>
      </c>
      <c r="D347" s="188">
        <v>0</v>
      </c>
      <c r="E347" s="188">
        <v>87980.35</v>
      </c>
      <c r="F347" s="188">
        <v>0</v>
      </c>
      <c r="G347" s="188">
        <v>97497.03</v>
      </c>
      <c r="H347" s="188">
        <v>0</v>
      </c>
      <c r="I347" s="188">
        <v>106637.21</v>
      </c>
      <c r="J347" s="188">
        <v>0</v>
      </c>
      <c r="K347" s="188">
        <v>376291.95</v>
      </c>
    </row>
    <row r="348" spans="1:11" x14ac:dyDescent="0.25">
      <c r="A348" s="186" t="s">
        <v>416</v>
      </c>
      <c r="B348" s="187" t="s">
        <v>417</v>
      </c>
      <c r="C348" s="188">
        <v>112236.49</v>
      </c>
      <c r="D348" s="188">
        <v>0</v>
      </c>
      <c r="E348" s="188">
        <v>117307.13</v>
      </c>
      <c r="F348" s="188">
        <v>0</v>
      </c>
      <c r="G348" s="188">
        <v>129996.05</v>
      </c>
      <c r="H348" s="188">
        <v>0</v>
      </c>
      <c r="I348" s="188">
        <v>142182.94</v>
      </c>
      <c r="J348" s="188">
        <v>0</v>
      </c>
      <c r="K348" s="188">
        <v>501722.61</v>
      </c>
    </row>
    <row r="349" spans="1:11" x14ac:dyDescent="0.25">
      <c r="A349" s="186" t="s">
        <v>905</v>
      </c>
      <c r="B349" s="187" t="s">
        <v>906</v>
      </c>
      <c r="C349" s="188">
        <v>133709.76000000001</v>
      </c>
      <c r="D349" s="188">
        <v>0</v>
      </c>
      <c r="E349" s="188">
        <v>87941.06</v>
      </c>
      <c r="F349" s="188">
        <v>0</v>
      </c>
      <c r="G349" s="188">
        <v>95331.3</v>
      </c>
      <c r="H349" s="188">
        <v>0</v>
      </c>
      <c r="I349" s="188">
        <v>103823.88</v>
      </c>
      <c r="J349" s="188">
        <v>0</v>
      </c>
      <c r="K349" s="188">
        <v>420806</v>
      </c>
    </row>
    <row r="350" spans="1:11" x14ac:dyDescent="0.25">
      <c r="A350" s="186" t="s">
        <v>907</v>
      </c>
      <c r="B350" s="187" t="s">
        <v>908</v>
      </c>
      <c r="C350" s="188">
        <v>133709.76000000001</v>
      </c>
      <c r="D350" s="188">
        <v>0</v>
      </c>
      <c r="E350" s="188">
        <v>87941.06</v>
      </c>
      <c r="F350" s="188">
        <v>0</v>
      </c>
      <c r="G350" s="188">
        <v>95331.3</v>
      </c>
      <c r="H350" s="188">
        <v>0</v>
      </c>
      <c r="I350" s="188">
        <v>103823.88</v>
      </c>
      <c r="J350" s="188">
        <v>0</v>
      </c>
      <c r="K350" s="188">
        <v>420806</v>
      </c>
    </row>
    <row r="351" spans="1:11" x14ac:dyDescent="0.25">
      <c r="A351" s="186" t="s">
        <v>909</v>
      </c>
      <c r="B351" s="187" t="s">
        <v>910</v>
      </c>
      <c r="C351" s="188">
        <v>71732.3</v>
      </c>
      <c r="D351" s="188">
        <v>0</v>
      </c>
      <c r="E351" s="188">
        <v>66355.710000000006</v>
      </c>
      <c r="F351" s="188">
        <v>0</v>
      </c>
      <c r="G351" s="188">
        <v>61993.4</v>
      </c>
      <c r="H351" s="188">
        <v>0</v>
      </c>
      <c r="I351" s="188">
        <v>57208.46</v>
      </c>
      <c r="J351" s="188">
        <v>0</v>
      </c>
      <c r="K351" s="188">
        <v>257289.87</v>
      </c>
    </row>
    <row r="352" spans="1:11" x14ac:dyDescent="0.25">
      <c r="A352" s="186" t="s">
        <v>911</v>
      </c>
      <c r="B352" s="187" t="s">
        <v>912</v>
      </c>
      <c r="C352" s="188">
        <v>71732.3</v>
      </c>
      <c r="D352" s="188">
        <v>0</v>
      </c>
      <c r="E352" s="188">
        <v>66355.710000000006</v>
      </c>
      <c r="F352" s="188">
        <v>0</v>
      </c>
      <c r="G352" s="188">
        <v>61993.4</v>
      </c>
      <c r="H352" s="188">
        <v>0</v>
      </c>
      <c r="I352" s="188">
        <v>57208.46</v>
      </c>
      <c r="J352" s="188">
        <v>0</v>
      </c>
      <c r="K352" s="188">
        <v>257289.87</v>
      </c>
    </row>
    <row r="353" spans="1:11" x14ac:dyDescent="0.25">
      <c r="A353" s="186" t="s">
        <v>913</v>
      </c>
      <c r="B353" s="187" t="s">
        <v>914</v>
      </c>
      <c r="C353" s="188">
        <v>71732.3</v>
      </c>
      <c r="D353" s="188">
        <v>0</v>
      </c>
      <c r="E353" s="188">
        <v>66355.710000000006</v>
      </c>
      <c r="F353" s="188">
        <v>0</v>
      </c>
      <c r="G353" s="188">
        <v>61993.4</v>
      </c>
      <c r="H353" s="188">
        <v>0</v>
      </c>
      <c r="I353" s="188">
        <v>57208.46</v>
      </c>
      <c r="J353" s="188">
        <v>0</v>
      </c>
      <c r="K353" s="188">
        <v>257289.87</v>
      </c>
    </row>
    <row r="354" spans="1:11" x14ac:dyDescent="0.25">
      <c r="A354" s="186" t="s">
        <v>1067</v>
      </c>
      <c r="B354" s="187" t="s">
        <v>1068</v>
      </c>
      <c r="C354" s="188">
        <v>276668.59000000003</v>
      </c>
      <c r="D354" s="188">
        <v>0</v>
      </c>
      <c r="E354" s="188">
        <v>205425.33</v>
      </c>
      <c r="F354" s="188">
        <v>0</v>
      </c>
      <c r="G354" s="188">
        <v>313283.15999999997</v>
      </c>
      <c r="H354" s="188">
        <v>0</v>
      </c>
      <c r="I354" s="188">
        <v>288092.48</v>
      </c>
      <c r="J354" s="188">
        <v>0</v>
      </c>
      <c r="K354" s="188">
        <v>1083469.56</v>
      </c>
    </row>
    <row r="355" spans="1:11" x14ac:dyDescent="0.25">
      <c r="A355" s="186" t="s">
        <v>1069</v>
      </c>
      <c r="B355" s="187" t="s">
        <v>1070</v>
      </c>
      <c r="C355" s="188">
        <v>276668.59000000003</v>
      </c>
      <c r="D355" s="188">
        <v>0</v>
      </c>
      <c r="E355" s="188">
        <v>205425.33</v>
      </c>
      <c r="F355" s="188">
        <v>0</v>
      </c>
      <c r="G355" s="188">
        <v>313283.15999999997</v>
      </c>
      <c r="H355" s="188">
        <v>0</v>
      </c>
      <c r="I355" s="188">
        <v>288092.48</v>
      </c>
      <c r="J355" s="188">
        <v>0</v>
      </c>
      <c r="K355" s="188">
        <v>1083469.56</v>
      </c>
    </row>
    <row r="356" spans="1:11" x14ac:dyDescent="0.25">
      <c r="A356" s="186" t="s">
        <v>1071</v>
      </c>
      <c r="B356" s="187" t="s">
        <v>1072</v>
      </c>
      <c r="C356" s="188">
        <v>276668.59000000003</v>
      </c>
      <c r="D356" s="188">
        <v>0</v>
      </c>
      <c r="E356" s="188">
        <v>205425.33</v>
      </c>
      <c r="F356" s="188">
        <v>0</v>
      </c>
      <c r="G356" s="188">
        <v>313283.15999999997</v>
      </c>
      <c r="H356" s="188">
        <v>0</v>
      </c>
      <c r="I356" s="188">
        <v>288092.48</v>
      </c>
      <c r="J356" s="188">
        <v>0</v>
      </c>
      <c r="K356" s="188">
        <v>1083469.56</v>
      </c>
    </row>
    <row r="358" spans="1:11" x14ac:dyDescent="0.25">
      <c r="A358" s="290" t="s">
        <v>192</v>
      </c>
      <c r="B358" s="290"/>
      <c r="C358" s="290" t="s">
        <v>193</v>
      </c>
      <c r="D358" s="290"/>
      <c r="E358" s="290"/>
      <c r="G358" s="183" t="s">
        <v>194</v>
      </c>
      <c r="I358" s="314" t="s">
        <v>195</v>
      </c>
      <c r="J358" s="314"/>
    </row>
    <row r="359" spans="1:11" x14ac:dyDescent="0.25">
      <c r="A359" s="307" t="s">
        <v>196</v>
      </c>
      <c r="B359" s="307"/>
      <c r="C359" s="307"/>
      <c r="D359" s="307"/>
      <c r="E359" s="307"/>
      <c r="F359" s="307"/>
      <c r="G359" s="307"/>
      <c r="H359" s="307"/>
    </row>
    <row r="360" spans="1:11" ht="15.75" x14ac:dyDescent="0.25">
      <c r="A360" s="308" t="s">
        <v>197</v>
      </c>
      <c r="B360" s="308"/>
      <c r="C360" s="310" t="s">
        <v>198</v>
      </c>
      <c r="D360" s="310"/>
      <c r="E360" s="310"/>
      <c r="F360" s="310"/>
      <c r="G360" s="310"/>
      <c r="H360" s="310"/>
      <c r="I360" s="310"/>
      <c r="J360" s="310"/>
      <c r="K360" s="310"/>
    </row>
    <row r="361" spans="1:11" ht="15.75" x14ac:dyDescent="0.25">
      <c r="A361" s="309"/>
      <c r="B361" s="309"/>
      <c r="C361" s="311">
        <v>2022</v>
      </c>
      <c r="D361" s="311"/>
      <c r="E361" s="311">
        <v>2023</v>
      </c>
      <c r="F361" s="311"/>
      <c r="G361" s="311">
        <v>2024</v>
      </c>
      <c r="H361" s="311"/>
      <c r="I361" s="311">
        <v>2025</v>
      </c>
      <c r="J361" s="311"/>
      <c r="K361" s="312" t="s">
        <v>90</v>
      </c>
    </row>
    <row r="362" spans="1:11" ht="15.75" x14ac:dyDescent="0.25">
      <c r="A362" s="308"/>
      <c r="B362" s="308"/>
      <c r="C362" s="184" t="s">
        <v>199</v>
      </c>
      <c r="D362" s="184" t="s">
        <v>200</v>
      </c>
      <c r="E362" s="184" t="s">
        <v>199</v>
      </c>
      <c r="F362" s="184" t="s">
        <v>200</v>
      </c>
      <c r="G362" s="184" t="s">
        <v>199</v>
      </c>
      <c r="H362" s="184" t="s">
        <v>200</v>
      </c>
      <c r="I362" s="184" t="s">
        <v>199</v>
      </c>
      <c r="J362" s="184" t="s">
        <v>200</v>
      </c>
      <c r="K362" s="313"/>
    </row>
    <row r="363" spans="1:11" x14ac:dyDescent="0.25">
      <c r="A363" s="186" t="s">
        <v>915</v>
      </c>
      <c r="B363" s="187" t="s">
        <v>916</v>
      </c>
      <c r="C363" s="188">
        <v>1307271.67</v>
      </c>
      <c r="D363" s="188">
        <v>0</v>
      </c>
      <c r="E363" s="188">
        <v>1074607.51</v>
      </c>
      <c r="F363" s="188">
        <v>0</v>
      </c>
      <c r="G363" s="188">
        <v>1081017.25</v>
      </c>
      <c r="H363" s="188">
        <v>0</v>
      </c>
      <c r="I363" s="188">
        <v>1170014.3600000001</v>
      </c>
      <c r="J363" s="188">
        <v>0</v>
      </c>
      <c r="K363" s="188">
        <v>4632910.79</v>
      </c>
    </row>
    <row r="364" spans="1:11" x14ac:dyDescent="0.25">
      <c r="A364" s="186" t="s">
        <v>917</v>
      </c>
      <c r="B364" s="187" t="s">
        <v>916</v>
      </c>
      <c r="C364" s="188">
        <v>1307271.67</v>
      </c>
      <c r="D364" s="188">
        <v>0</v>
      </c>
      <c r="E364" s="188">
        <v>1074607.51</v>
      </c>
      <c r="F364" s="188">
        <v>0</v>
      </c>
      <c r="G364" s="188">
        <v>1081017.25</v>
      </c>
      <c r="H364" s="188">
        <v>0</v>
      </c>
      <c r="I364" s="188">
        <v>1170014.3600000001</v>
      </c>
      <c r="J364" s="188">
        <v>0</v>
      </c>
      <c r="K364" s="188">
        <v>4632910.79</v>
      </c>
    </row>
    <row r="365" spans="1:11" x14ac:dyDescent="0.25">
      <c r="A365" s="186" t="s">
        <v>918</v>
      </c>
      <c r="B365" s="187" t="s">
        <v>919</v>
      </c>
      <c r="C365" s="188">
        <v>1307271.67</v>
      </c>
      <c r="D365" s="188">
        <v>0</v>
      </c>
      <c r="E365" s="188">
        <v>1074607.51</v>
      </c>
      <c r="F365" s="188">
        <v>0</v>
      </c>
      <c r="G365" s="188">
        <v>1081017.25</v>
      </c>
      <c r="H365" s="188">
        <v>0</v>
      </c>
      <c r="I365" s="188">
        <v>1170014.3600000001</v>
      </c>
      <c r="J365" s="188">
        <v>0</v>
      </c>
      <c r="K365" s="188">
        <v>4632910.79</v>
      </c>
    </row>
    <row r="366" spans="1:11" x14ac:dyDescent="0.25">
      <c r="A366" s="186" t="s">
        <v>920</v>
      </c>
      <c r="B366" s="187" t="s">
        <v>921</v>
      </c>
      <c r="C366" s="188">
        <v>356563.72</v>
      </c>
      <c r="D366" s="188">
        <v>0</v>
      </c>
      <c r="E366" s="188">
        <v>284834.90000000002</v>
      </c>
      <c r="F366" s="188">
        <v>0</v>
      </c>
      <c r="G366" s="188">
        <v>276771.20000000001</v>
      </c>
      <c r="H366" s="188">
        <v>0</v>
      </c>
      <c r="I366" s="188">
        <v>316102.48</v>
      </c>
      <c r="J366" s="188">
        <v>0</v>
      </c>
      <c r="K366" s="188">
        <v>1234272.3</v>
      </c>
    </row>
    <row r="367" spans="1:11" x14ac:dyDescent="0.25">
      <c r="A367" s="186" t="s">
        <v>922</v>
      </c>
      <c r="B367" s="187" t="s">
        <v>923</v>
      </c>
      <c r="C367" s="188">
        <v>165443.76</v>
      </c>
      <c r="D367" s="188">
        <v>0</v>
      </c>
      <c r="E367" s="188">
        <v>132687.69</v>
      </c>
      <c r="F367" s="188">
        <v>0</v>
      </c>
      <c r="G367" s="188">
        <v>128917.9</v>
      </c>
      <c r="H367" s="188">
        <v>0</v>
      </c>
      <c r="I367" s="188">
        <v>147518.79999999999</v>
      </c>
      <c r="J367" s="188">
        <v>0</v>
      </c>
      <c r="K367" s="188">
        <v>574568.15</v>
      </c>
    </row>
    <row r="368" spans="1:11" x14ac:dyDescent="0.25">
      <c r="A368" s="186" t="s">
        <v>924</v>
      </c>
      <c r="B368" s="187" t="s">
        <v>925</v>
      </c>
      <c r="C368" s="188">
        <v>123574.42</v>
      </c>
      <c r="D368" s="188">
        <v>0</v>
      </c>
      <c r="E368" s="188">
        <v>101691.99</v>
      </c>
      <c r="F368" s="188">
        <v>0</v>
      </c>
      <c r="G368" s="188">
        <v>107384.82</v>
      </c>
      <c r="H368" s="188">
        <v>0</v>
      </c>
      <c r="I368" s="188">
        <v>115498.05</v>
      </c>
      <c r="J368" s="188">
        <v>0</v>
      </c>
      <c r="K368" s="188">
        <v>448149.28</v>
      </c>
    </row>
    <row r="369" spans="1:11" x14ac:dyDescent="0.25">
      <c r="A369" s="186" t="s">
        <v>926</v>
      </c>
      <c r="B369" s="187" t="s">
        <v>927</v>
      </c>
      <c r="C369" s="188">
        <v>83492.12</v>
      </c>
      <c r="D369" s="188">
        <v>0</v>
      </c>
      <c r="E369" s="188">
        <v>71678.7</v>
      </c>
      <c r="F369" s="188">
        <v>0</v>
      </c>
      <c r="G369" s="188">
        <v>73776.58</v>
      </c>
      <c r="H369" s="188">
        <v>0</v>
      </c>
      <c r="I369" s="188">
        <v>72262.710000000006</v>
      </c>
      <c r="J369" s="188">
        <v>0</v>
      </c>
      <c r="K369" s="188">
        <v>301210.11</v>
      </c>
    </row>
    <row r="370" spans="1:11" x14ac:dyDescent="0.25">
      <c r="A370" s="186" t="s">
        <v>928</v>
      </c>
      <c r="B370" s="187" t="s">
        <v>929</v>
      </c>
      <c r="C370" s="188">
        <v>407763.24</v>
      </c>
      <c r="D370" s="188">
        <v>0</v>
      </c>
      <c r="E370" s="188">
        <v>338365.15</v>
      </c>
      <c r="F370" s="188">
        <v>0</v>
      </c>
      <c r="G370" s="188">
        <v>350024.8</v>
      </c>
      <c r="H370" s="188">
        <v>0</v>
      </c>
      <c r="I370" s="188">
        <v>372678.35</v>
      </c>
      <c r="J370" s="188">
        <v>0</v>
      </c>
      <c r="K370" s="188">
        <v>1468831.54</v>
      </c>
    </row>
    <row r="371" spans="1:11" x14ac:dyDescent="0.25">
      <c r="A371" s="186" t="s">
        <v>930</v>
      </c>
      <c r="B371" s="187" t="s">
        <v>931</v>
      </c>
      <c r="C371" s="188">
        <v>170434.41</v>
      </c>
      <c r="D371" s="188">
        <v>0</v>
      </c>
      <c r="E371" s="188">
        <v>145349.07999999999</v>
      </c>
      <c r="F371" s="188">
        <v>0</v>
      </c>
      <c r="G371" s="188">
        <v>144141.95000000001</v>
      </c>
      <c r="H371" s="188">
        <v>0</v>
      </c>
      <c r="I371" s="188">
        <v>145953.97</v>
      </c>
      <c r="J371" s="188">
        <v>0</v>
      </c>
      <c r="K371" s="188">
        <v>605879.41</v>
      </c>
    </row>
    <row r="372" spans="1:11" x14ac:dyDescent="0.25">
      <c r="A372" s="186" t="s">
        <v>932</v>
      </c>
      <c r="B372" s="187" t="s">
        <v>933</v>
      </c>
      <c r="C372" s="188">
        <v>2165332.54</v>
      </c>
      <c r="D372" s="188">
        <v>0</v>
      </c>
      <c r="E372" s="188">
        <v>2296883.17</v>
      </c>
      <c r="F372" s="188">
        <v>0</v>
      </c>
      <c r="G372" s="188">
        <v>2427991.6800000002</v>
      </c>
      <c r="H372" s="188">
        <v>0</v>
      </c>
      <c r="I372" s="188">
        <v>2495594.54</v>
      </c>
      <c r="J372" s="188">
        <v>0</v>
      </c>
      <c r="K372" s="188">
        <v>9385801.9299999997</v>
      </c>
    </row>
    <row r="373" spans="1:11" x14ac:dyDescent="0.25">
      <c r="A373" s="186" t="s">
        <v>934</v>
      </c>
      <c r="B373" s="187" t="s">
        <v>935</v>
      </c>
      <c r="C373" s="188">
        <v>2165332.54</v>
      </c>
      <c r="D373" s="188">
        <v>0</v>
      </c>
      <c r="E373" s="188">
        <v>2296883.17</v>
      </c>
      <c r="F373" s="188">
        <v>0</v>
      </c>
      <c r="G373" s="188">
        <v>2427991.6800000002</v>
      </c>
      <c r="H373" s="188">
        <v>0</v>
      </c>
      <c r="I373" s="188">
        <v>2495594.54</v>
      </c>
      <c r="J373" s="188">
        <v>0</v>
      </c>
      <c r="K373" s="188">
        <v>9385801.9299999997</v>
      </c>
    </row>
    <row r="374" spans="1:11" x14ac:dyDescent="0.25">
      <c r="A374" s="186" t="s">
        <v>936</v>
      </c>
      <c r="B374" s="187" t="s">
        <v>937</v>
      </c>
      <c r="C374" s="188">
        <v>2165332.54</v>
      </c>
      <c r="D374" s="188">
        <v>0</v>
      </c>
      <c r="E374" s="188">
        <v>2296883.17</v>
      </c>
      <c r="F374" s="188">
        <v>0</v>
      </c>
      <c r="G374" s="188">
        <v>2427991.6800000002</v>
      </c>
      <c r="H374" s="188">
        <v>0</v>
      </c>
      <c r="I374" s="188">
        <v>2495594.54</v>
      </c>
      <c r="J374" s="188">
        <v>0</v>
      </c>
      <c r="K374" s="188">
        <v>9385801.9299999997</v>
      </c>
    </row>
    <row r="375" spans="1:11" x14ac:dyDescent="0.25">
      <c r="A375" s="186" t="s">
        <v>938</v>
      </c>
      <c r="B375" s="187" t="s">
        <v>939</v>
      </c>
      <c r="C375" s="188">
        <v>2165332.54</v>
      </c>
      <c r="D375" s="188">
        <v>0</v>
      </c>
      <c r="E375" s="188">
        <v>2296883.17</v>
      </c>
      <c r="F375" s="188">
        <v>0</v>
      </c>
      <c r="G375" s="188">
        <v>2427991.6800000002</v>
      </c>
      <c r="H375" s="188">
        <v>0</v>
      </c>
      <c r="I375" s="188">
        <v>2495594.54</v>
      </c>
      <c r="J375" s="188">
        <v>0</v>
      </c>
      <c r="K375" s="188">
        <v>9385801.9299999997</v>
      </c>
    </row>
    <row r="376" spans="1:11" x14ac:dyDescent="0.25">
      <c r="A376" s="186" t="s">
        <v>940</v>
      </c>
      <c r="B376" s="187" t="s">
        <v>61</v>
      </c>
      <c r="C376" s="188">
        <v>125584.48</v>
      </c>
      <c r="D376" s="188">
        <v>0</v>
      </c>
      <c r="E376" s="188">
        <v>12030326.34</v>
      </c>
      <c r="F376" s="188">
        <v>0</v>
      </c>
      <c r="G376" s="188">
        <v>10206866.279999999</v>
      </c>
      <c r="H376" s="188">
        <v>0</v>
      </c>
      <c r="I376" s="188">
        <v>11737231.470000001</v>
      </c>
      <c r="J376" s="188">
        <v>0</v>
      </c>
      <c r="K376" s="188">
        <v>34100008.57</v>
      </c>
    </row>
    <row r="377" spans="1:11" x14ac:dyDescent="0.25">
      <c r="A377" s="186" t="s">
        <v>941</v>
      </c>
      <c r="B377" s="187" t="s">
        <v>942</v>
      </c>
      <c r="C377" s="188">
        <v>125584.48</v>
      </c>
      <c r="D377" s="188">
        <v>0</v>
      </c>
      <c r="E377" s="188">
        <v>12030326.34</v>
      </c>
      <c r="F377" s="188">
        <v>0</v>
      </c>
      <c r="G377" s="188">
        <v>10206866.279999999</v>
      </c>
      <c r="H377" s="188">
        <v>0</v>
      </c>
      <c r="I377" s="188">
        <v>11737231.470000001</v>
      </c>
      <c r="J377" s="188">
        <v>0</v>
      </c>
      <c r="K377" s="188">
        <v>34100008.57</v>
      </c>
    </row>
    <row r="378" spans="1:11" x14ac:dyDescent="0.25">
      <c r="A378" s="186" t="s">
        <v>943</v>
      </c>
      <c r="B378" s="187" t="s">
        <v>944</v>
      </c>
      <c r="C378" s="188">
        <v>125584.48</v>
      </c>
      <c r="D378" s="188">
        <v>0</v>
      </c>
      <c r="E378" s="188">
        <v>12030326.34</v>
      </c>
      <c r="F378" s="188">
        <v>0</v>
      </c>
      <c r="G378" s="188">
        <v>10206866.279999999</v>
      </c>
      <c r="H378" s="188">
        <v>0</v>
      </c>
      <c r="I378" s="188">
        <v>11737231.470000001</v>
      </c>
      <c r="J378" s="188">
        <v>0</v>
      </c>
      <c r="K378" s="188">
        <v>34100008.57</v>
      </c>
    </row>
    <row r="379" spans="1:11" x14ac:dyDescent="0.25">
      <c r="A379" s="186" t="s">
        <v>945</v>
      </c>
      <c r="B379" s="187" t="s">
        <v>946</v>
      </c>
      <c r="C379" s="188">
        <v>125584.48</v>
      </c>
      <c r="D379" s="188">
        <v>0</v>
      </c>
      <c r="E379" s="188">
        <v>12030326.34</v>
      </c>
      <c r="F379" s="188">
        <v>0</v>
      </c>
      <c r="G379" s="188">
        <v>10206866.279999999</v>
      </c>
      <c r="H379" s="188">
        <v>0</v>
      </c>
      <c r="I379" s="188">
        <v>11737231.470000001</v>
      </c>
      <c r="J379" s="188">
        <v>0</v>
      </c>
      <c r="K379" s="188">
        <v>34100008.57</v>
      </c>
    </row>
    <row r="380" spans="1:11" x14ac:dyDescent="0.25">
      <c r="A380" s="186" t="s">
        <v>947</v>
      </c>
      <c r="B380" s="187" t="s">
        <v>948</v>
      </c>
      <c r="C380" s="188">
        <v>125584.48</v>
      </c>
      <c r="D380" s="188">
        <v>0</v>
      </c>
      <c r="E380" s="188">
        <v>12030326.34</v>
      </c>
      <c r="F380" s="188">
        <v>0</v>
      </c>
      <c r="G380" s="188">
        <v>10206866.279999999</v>
      </c>
      <c r="H380" s="188">
        <v>0</v>
      </c>
      <c r="I380" s="188">
        <v>11737231.470000001</v>
      </c>
      <c r="J380" s="188">
        <v>0</v>
      </c>
      <c r="K380" s="188">
        <v>34100008.57</v>
      </c>
    </row>
    <row r="381" spans="1:11" x14ac:dyDescent="0.25">
      <c r="A381" s="186" t="s">
        <v>949</v>
      </c>
      <c r="B381" s="187" t="s">
        <v>950</v>
      </c>
      <c r="C381" s="188">
        <v>125584.48</v>
      </c>
      <c r="D381" s="188">
        <v>0</v>
      </c>
      <c r="E381" s="188">
        <v>12030326.34</v>
      </c>
      <c r="F381" s="188">
        <v>0</v>
      </c>
      <c r="G381" s="188">
        <v>10206866.279999999</v>
      </c>
      <c r="H381" s="188">
        <v>0</v>
      </c>
      <c r="I381" s="188">
        <v>11737231.470000001</v>
      </c>
      <c r="J381" s="188">
        <v>0</v>
      </c>
      <c r="K381" s="188">
        <v>34100008.57</v>
      </c>
    </row>
    <row r="382" spans="1:11" x14ac:dyDescent="0.25">
      <c r="A382" s="186" t="s">
        <v>951</v>
      </c>
      <c r="B382" s="187" t="s">
        <v>62</v>
      </c>
      <c r="C382" s="188">
        <v>25511046.5</v>
      </c>
      <c r="D382" s="188">
        <v>0</v>
      </c>
      <c r="E382" s="188">
        <v>27889272.699999999</v>
      </c>
      <c r="F382" s="188">
        <v>0</v>
      </c>
      <c r="G382" s="188">
        <v>30599942.57</v>
      </c>
      <c r="H382" s="188">
        <v>0</v>
      </c>
      <c r="I382" s="188">
        <v>34271122.740000002</v>
      </c>
      <c r="J382" s="188">
        <v>0</v>
      </c>
      <c r="K382" s="188">
        <v>118271384.51000001</v>
      </c>
    </row>
    <row r="383" spans="1:11" x14ac:dyDescent="0.25">
      <c r="A383" s="186" t="s">
        <v>952</v>
      </c>
      <c r="B383" s="187" t="s">
        <v>953</v>
      </c>
      <c r="C383" s="188">
        <v>25511046.5</v>
      </c>
      <c r="D383" s="188">
        <v>0</v>
      </c>
      <c r="E383" s="188">
        <v>27889272.699999999</v>
      </c>
      <c r="F383" s="188">
        <v>0</v>
      </c>
      <c r="G383" s="188">
        <v>30599942.57</v>
      </c>
      <c r="H383" s="188">
        <v>0</v>
      </c>
      <c r="I383" s="188">
        <v>34271122.740000002</v>
      </c>
      <c r="J383" s="188">
        <v>0</v>
      </c>
      <c r="K383" s="188">
        <v>118271384.51000001</v>
      </c>
    </row>
    <row r="384" spans="1:11" x14ac:dyDescent="0.25">
      <c r="A384" s="186" t="s">
        <v>954</v>
      </c>
      <c r="B384" s="187" t="s">
        <v>955</v>
      </c>
      <c r="C384" s="188">
        <v>25511046.5</v>
      </c>
      <c r="D384" s="188">
        <v>0</v>
      </c>
      <c r="E384" s="188">
        <v>27889272.699999999</v>
      </c>
      <c r="F384" s="188">
        <v>0</v>
      </c>
      <c r="G384" s="188">
        <v>30599942.57</v>
      </c>
      <c r="H384" s="188">
        <v>0</v>
      </c>
      <c r="I384" s="188">
        <v>34271122.740000002</v>
      </c>
      <c r="J384" s="188">
        <v>0</v>
      </c>
      <c r="K384" s="188">
        <v>118271384.51000001</v>
      </c>
    </row>
    <row r="385" spans="1:11" x14ac:dyDescent="0.25">
      <c r="A385" s="186" t="s">
        <v>956</v>
      </c>
      <c r="B385" s="187" t="s">
        <v>955</v>
      </c>
      <c r="C385" s="188">
        <v>25511046.5</v>
      </c>
      <c r="D385" s="188">
        <v>0</v>
      </c>
      <c r="E385" s="188">
        <v>27889272.699999999</v>
      </c>
      <c r="F385" s="188">
        <v>0</v>
      </c>
      <c r="G385" s="188">
        <v>30599942.57</v>
      </c>
      <c r="H385" s="188">
        <v>0</v>
      </c>
      <c r="I385" s="188">
        <v>34271122.740000002</v>
      </c>
      <c r="J385" s="188">
        <v>0</v>
      </c>
      <c r="K385" s="188">
        <v>118271384.51000001</v>
      </c>
    </row>
    <row r="386" spans="1:11" x14ac:dyDescent="0.25">
      <c r="A386" s="186" t="s">
        <v>957</v>
      </c>
      <c r="B386" s="187" t="s">
        <v>958</v>
      </c>
      <c r="C386" s="188">
        <v>25511046.5</v>
      </c>
      <c r="D386" s="188">
        <v>0</v>
      </c>
      <c r="E386" s="188">
        <v>27889272.699999999</v>
      </c>
      <c r="F386" s="188">
        <v>0</v>
      </c>
      <c r="G386" s="188">
        <v>30599942.57</v>
      </c>
      <c r="H386" s="188">
        <v>0</v>
      </c>
      <c r="I386" s="188">
        <v>34271122.740000002</v>
      </c>
      <c r="J386" s="188">
        <v>0</v>
      </c>
      <c r="K386" s="188">
        <v>118271384.51000001</v>
      </c>
    </row>
    <row r="387" spans="1:11" x14ac:dyDescent="0.25">
      <c r="A387" s="186" t="s">
        <v>959</v>
      </c>
      <c r="B387" s="187" t="s">
        <v>960</v>
      </c>
      <c r="C387" s="188">
        <v>70505.72</v>
      </c>
      <c r="D387" s="188">
        <v>0</v>
      </c>
      <c r="E387" s="188">
        <v>61065.49</v>
      </c>
      <c r="F387" s="188">
        <v>0</v>
      </c>
      <c r="G387" s="188">
        <v>75587.11</v>
      </c>
      <c r="H387" s="188">
        <v>0</v>
      </c>
      <c r="I387" s="188">
        <v>66982.070000000007</v>
      </c>
      <c r="J387" s="188">
        <v>0</v>
      </c>
      <c r="K387" s="188">
        <v>274140.39</v>
      </c>
    </row>
    <row r="388" spans="1:11" x14ac:dyDescent="0.25">
      <c r="A388" s="186" t="s">
        <v>961</v>
      </c>
      <c r="B388" s="187" t="s">
        <v>962</v>
      </c>
      <c r="C388" s="188">
        <v>53988.42</v>
      </c>
      <c r="D388" s="188">
        <v>0</v>
      </c>
      <c r="E388" s="188">
        <v>44676.01</v>
      </c>
      <c r="F388" s="188">
        <v>0</v>
      </c>
      <c r="G388" s="188">
        <v>56849.74</v>
      </c>
      <c r="H388" s="188">
        <v>0</v>
      </c>
      <c r="I388" s="188">
        <v>48420.92</v>
      </c>
      <c r="J388" s="188">
        <v>0</v>
      </c>
      <c r="K388" s="188">
        <v>203935.09</v>
      </c>
    </row>
    <row r="389" spans="1:11" x14ac:dyDescent="0.25">
      <c r="A389" s="186" t="s">
        <v>963</v>
      </c>
      <c r="B389" s="187" t="s">
        <v>964</v>
      </c>
      <c r="C389" s="188">
        <v>53988.42</v>
      </c>
      <c r="D389" s="188">
        <v>0</v>
      </c>
      <c r="E389" s="188">
        <v>44676.01</v>
      </c>
      <c r="F389" s="188">
        <v>0</v>
      </c>
      <c r="G389" s="188">
        <v>56849.74</v>
      </c>
      <c r="H389" s="188">
        <v>0</v>
      </c>
      <c r="I389" s="188">
        <v>48420.92</v>
      </c>
      <c r="J389" s="188">
        <v>0</v>
      </c>
      <c r="K389" s="188">
        <v>203935.09</v>
      </c>
    </row>
    <row r="390" spans="1:11" x14ac:dyDescent="0.25">
      <c r="A390" s="186" t="s">
        <v>965</v>
      </c>
      <c r="B390" s="187" t="s">
        <v>966</v>
      </c>
      <c r="C390" s="188">
        <v>53988.42</v>
      </c>
      <c r="D390" s="188">
        <v>0</v>
      </c>
      <c r="E390" s="188">
        <v>44676.01</v>
      </c>
      <c r="F390" s="188">
        <v>0</v>
      </c>
      <c r="G390" s="188">
        <v>56849.74</v>
      </c>
      <c r="H390" s="188">
        <v>0</v>
      </c>
      <c r="I390" s="188">
        <v>48420.92</v>
      </c>
      <c r="J390" s="188">
        <v>0</v>
      </c>
      <c r="K390" s="188">
        <v>203935.09</v>
      </c>
    </row>
    <row r="391" spans="1:11" x14ac:dyDescent="0.25">
      <c r="A391" s="186" t="s">
        <v>967</v>
      </c>
      <c r="B391" s="187" t="s">
        <v>968</v>
      </c>
      <c r="C391" s="188">
        <v>53988.42</v>
      </c>
      <c r="D391" s="188">
        <v>0</v>
      </c>
      <c r="E391" s="188">
        <v>44676.01</v>
      </c>
      <c r="F391" s="188">
        <v>0</v>
      </c>
      <c r="G391" s="188">
        <v>56849.74</v>
      </c>
      <c r="H391" s="188">
        <v>0</v>
      </c>
      <c r="I391" s="188">
        <v>48420.92</v>
      </c>
      <c r="J391" s="188">
        <v>0</v>
      </c>
      <c r="K391" s="188">
        <v>203935.09</v>
      </c>
    </row>
    <row r="393" spans="1:11" x14ac:dyDescent="0.25">
      <c r="A393" s="290" t="s">
        <v>192</v>
      </c>
      <c r="B393" s="290"/>
      <c r="C393" s="290" t="s">
        <v>193</v>
      </c>
      <c r="D393" s="290"/>
      <c r="E393" s="290"/>
      <c r="G393" s="183" t="s">
        <v>194</v>
      </c>
      <c r="I393" s="314" t="s">
        <v>195</v>
      </c>
      <c r="J393" s="314"/>
    </row>
    <row r="394" spans="1:11" x14ac:dyDescent="0.25">
      <c r="A394" s="307" t="s">
        <v>196</v>
      </c>
      <c r="B394" s="307"/>
      <c r="C394" s="307"/>
      <c r="D394" s="307"/>
      <c r="E394" s="307"/>
      <c r="F394" s="307"/>
      <c r="G394" s="307"/>
      <c r="H394" s="307"/>
    </row>
    <row r="395" spans="1:11" ht="15.75" x14ac:dyDescent="0.25">
      <c r="A395" s="308" t="s">
        <v>197</v>
      </c>
      <c r="B395" s="308"/>
      <c r="C395" s="310" t="s">
        <v>198</v>
      </c>
      <c r="D395" s="310"/>
      <c r="E395" s="310"/>
      <c r="F395" s="310"/>
      <c r="G395" s="310"/>
      <c r="H395" s="310"/>
      <c r="I395" s="310"/>
      <c r="J395" s="310"/>
      <c r="K395" s="310"/>
    </row>
    <row r="396" spans="1:11" ht="15.75" x14ac:dyDescent="0.25">
      <c r="A396" s="309"/>
      <c r="B396" s="309"/>
      <c r="C396" s="311">
        <v>2022</v>
      </c>
      <c r="D396" s="311"/>
      <c r="E396" s="311">
        <v>2023</v>
      </c>
      <c r="F396" s="311"/>
      <c r="G396" s="311">
        <v>2024</v>
      </c>
      <c r="H396" s="311"/>
      <c r="I396" s="311">
        <v>2025</v>
      </c>
      <c r="J396" s="311"/>
      <c r="K396" s="312" t="s">
        <v>90</v>
      </c>
    </row>
    <row r="397" spans="1:11" ht="15.75" x14ac:dyDescent="0.25">
      <c r="A397" s="308"/>
      <c r="B397" s="308"/>
      <c r="C397" s="184" t="s">
        <v>199</v>
      </c>
      <c r="D397" s="184" t="s">
        <v>200</v>
      </c>
      <c r="E397" s="184" t="s">
        <v>199</v>
      </c>
      <c r="F397" s="184" t="s">
        <v>200</v>
      </c>
      <c r="G397" s="184" t="s">
        <v>199</v>
      </c>
      <c r="H397" s="184" t="s">
        <v>200</v>
      </c>
      <c r="I397" s="184" t="s">
        <v>199</v>
      </c>
      <c r="J397" s="184" t="s">
        <v>200</v>
      </c>
      <c r="K397" s="313"/>
    </row>
    <row r="398" spans="1:11" x14ac:dyDescent="0.25">
      <c r="A398" s="186" t="s">
        <v>969</v>
      </c>
      <c r="B398" s="187" t="s">
        <v>970</v>
      </c>
      <c r="C398" s="188">
        <v>33169.82</v>
      </c>
      <c r="D398" s="188">
        <v>0</v>
      </c>
      <c r="E398" s="188">
        <v>27448.39</v>
      </c>
      <c r="F398" s="188">
        <v>0</v>
      </c>
      <c r="G398" s="188">
        <v>34927.79</v>
      </c>
      <c r="H398" s="188">
        <v>0</v>
      </c>
      <c r="I398" s="188">
        <v>29749.23</v>
      </c>
      <c r="J398" s="188">
        <v>0</v>
      </c>
      <c r="K398" s="188">
        <v>125295.23</v>
      </c>
    </row>
    <row r="399" spans="1:11" x14ac:dyDescent="0.25">
      <c r="A399" s="186" t="s">
        <v>971</v>
      </c>
      <c r="B399" s="187" t="s">
        <v>972</v>
      </c>
      <c r="C399" s="188">
        <v>7763.81</v>
      </c>
      <c r="D399" s="188">
        <v>0</v>
      </c>
      <c r="E399" s="188">
        <v>6424.64</v>
      </c>
      <c r="F399" s="188">
        <v>0</v>
      </c>
      <c r="G399" s="188">
        <v>8175.29</v>
      </c>
      <c r="H399" s="188">
        <v>0</v>
      </c>
      <c r="I399" s="188">
        <v>6963.18</v>
      </c>
      <c r="J399" s="188">
        <v>0</v>
      </c>
      <c r="K399" s="188">
        <v>29326.92</v>
      </c>
    </row>
    <row r="400" spans="1:11" x14ac:dyDescent="0.25">
      <c r="A400" s="186" t="s">
        <v>973</v>
      </c>
      <c r="B400" s="187" t="s">
        <v>974</v>
      </c>
      <c r="C400" s="188">
        <v>19203.830000000002</v>
      </c>
      <c r="D400" s="188">
        <v>0</v>
      </c>
      <c r="E400" s="188">
        <v>15891.38</v>
      </c>
      <c r="F400" s="188">
        <v>0</v>
      </c>
      <c r="G400" s="188">
        <v>20221.61</v>
      </c>
      <c r="H400" s="188">
        <v>0</v>
      </c>
      <c r="I400" s="188">
        <v>17223.46</v>
      </c>
      <c r="J400" s="188">
        <v>0</v>
      </c>
      <c r="K400" s="188">
        <v>72540.28</v>
      </c>
    </row>
    <row r="401" spans="1:11" x14ac:dyDescent="0.25">
      <c r="A401" s="186" t="s">
        <v>975</v>
      </c>
      <c r="B401" s="187" t="s">
        <v>976</v>
      </c>
      <c r="C401" s="188">
        <v>6202.18</v>
      </c>
      <c r="D401" s="188">
        <v>0</v>
      </c>
      <c r="E401" s="188">
        <v>5132.37</v>
      </c>
      <c r="F401" s="188">
        <v>0</v>
      </c>
      <c r="G401" s="188">
        <v>6530.89</v>
      </c>
      <c r="H401" s="188">
        <v>0</v>
      </c>
      <c r="I401" s="188">
        <v>5562.59</v>
      </c>
      <c r="J401" s="188">
        <v>0</v>
      </c>
      <c r="K401" s="188">
        <v>23428.03</v>
      </c>
    </row>
    <row r="402" spans="1:11" x14ac:dyDescent="0.25">
      <c r="A402" s="186" t="s">
        <v>977</v>
      </c>
      <c r="B402" s="187" t="s">
        <v>978</v>
      </c>
      <c r="C402" s="188">
        <v>427.3</v>
      </c>
      <c r="D402" s="188">
        <v>0</v>
      </c>
      <c r="E402" s="188">
        <v>353.59</v>
      </c>
      <c r="F402" s="188">
        <v>0</v>
      </c>
      <c r="G402" s="188">
        <v>449.95</v>
      </c>
      <c r="H402" s="188">
        <v>0</v>
      </c>
      <c r="I402" s="188">
        <v>383.24</v>
      </c>
      <c r="J402" s="188">
        <v>0</v>
      </c>
      <c r="K402" s="188">
        <v>1614.08</v>
      </c>
    </row>
    <row r="403" spans="1:11" x14ac:dyDescent="0.25">
      <c r="A403" s="186" t="s">
        <v>979</v>
      </c>
      <c r="B403" s="187" t="s">
        <v>980</v>
      </c>
      <c r="C403" s="188">
        <v>213.65</v>
      </c>
      <c r="D403" s="188">
        <v>0</v>
      </c>
      <c r="E403" s="188">
        <v>176.8</v>
      </c>
      <c r="F403" s="188">
        <v>0</v>
      </c>
      <c r="G403" s="188">
        <v>224.98</v>
      </c>
      <c r="H403" s="188">
        <v>0</v>
      </c>
      <c r="I403" s="188">
        <v>191.62</v>
      </c>
      <c r="J403" s="188">
        <v>0</v>
      </c>
      <c r="K403" s="188">
        <v>807.05</v>
      </c>
    </row>
    <row r="404" spans="1:11" x14ac:dyDescent="0.25">
      <c r="A404" s="186" t="s">
        <v>981</v>
      </c>
      <c r="B404" s="187" t="s">
        <v>972</v>
      </c>
      <c r="C404" s="188">
        <v>28.51</v>
      </c>
      <c r="D404" s="188">
        <v>0</v>
      </c>
      <c r="E404" s="188">
        <v>23.59</v>
      </c>
      <c r="F404" s="188">
        <v>0</v>
      </c>
      <c r="G404" s="188">
        <v>30.02</v>
      </c>
      <c r="H404" s="188">
        <v>0</v>
      </c>
      <c r="I404" s="188">
        <v>25.57</v>
      </c>
      <c r="J404" s="188">
        <v>0</v>
      </c>
      <c r="K404" s="188">
        <v>107.69</v>
      </c>
    </row>
    <row r="405" spans="1:11" x14ac:dyDescent="0.25">
      <c r="A405" s="186" t="s">
        <v>982</v>
      </c>
      <c r="B405" s="187" t="s">
        <v>974</v>
      </c>
      <c r="C405" s="188">
        <v>59.41</v>
      </c>
      <c r="D405" s="188">
        <v>0</v>
      </c>
      <c r="E405" s="188">
        <v>49.16</v>
      </c>
      <c r="F405" s="188">
        <v>0</v>
      </c>
      <c r="G405" s="188">
        <v>62.56</v>
      </c>
      <c r="H405" s="188">
        <v>0</v>
      </c>
      <c r="I405" s="188">
        <v>53.28</v>
      </c>
      <c r="J405" s="188">
        <v>0</v>
      </c>
      <c r="K405" s="188">
        <v>224.41</v>
      </c>
    </row>
    <row r="406" spans="1:11" x14ac:dyDescent="0.25">
      <c r="A406" s="186" t="s">
        <v>983</v>
      </c>
      <c r="B406" s="187" t="s">
        <v>976</v>
      </c>
      <c r="C406" s="188">
        <v>102.71</v>
      </c>
      <c r="D406" s="188">
        <v>0</v>
      </c>
      <c r="E406" s="188">
        <v>84.99</v>
      </c>
      <c r="F406" s="188">
        <v>0</v>
      </c>
      <c r="G406" s="188">
        <v>108.15</v>
      </c>
      <c r="H406" s="188">
        <v>0</v>
      </c>
      <c r="I406" s="188">
        <v>92.12</v>
      </c>
      <c r="J406" s="188">
        <v>0</v>
      </c>
      <c r="K406" s="188">
        <v>387.97</v>
      </c>
    </row>
    <row r="407" spans="1:11" x14ac:dyDescent="0.25">
      <c r="A407" s="186" t="s">
        <v>984</v>
      </c>
      <c r="B407" s="187" t="s">
        <v>985</v>
      </c>
      <c r="C407" s="188">
        <v>23.02</v>
      </c>
      <c r="D407" s="188">
        <v>0</v>
      </c>
      <c r="E407" s="188">
        <v>19.05</v>
      </c>
      <c r="F407" s="188">
        <v>0</v>
      </c>
      <c r="G407" s="188">
        <v>24.24</v>
      </c>
      <c r="H407" s="188">
        <v>0</v>
      </c>
      <c r="I407" s="188">
        <v>20.65</v>
      </c>
      <c r="J407" s="188">
        <v>0</v>
      </c>
      <c r="K407" s="188">
        <v>86.96</v>
      </c>
    </row>
    <row r="408" spans="1:11" x14ac:dyDescent="0.25">
      <c r="A408" s="186" t="s">
        <v>986</v>
      </c>
      <c r="B408" s="187" t="s">
        <v>987</v>
      </c>
      <c r="C408" s="188">
        <v>19699.41</v>
      </c>
      <c r="D408" s="188">
        <v>0</v>
      </c>
      <c r="E408" s="188">
        <v>16301.48</v>
      </c>
      <c r="F408" s="188">
        <v>0</v>
      </c>
      <c r="G408" s="188">
        <v>20743.45</v>
      </c>
      <c r="H408" s="188">
        <v>0</v>
      </c>
      <c r="I408" s="188">
        <v>17667.919999999998</v>
      </c>
      <c r="J408" s="188">
        <v>0</v>
      </c>
      <c r="K408" s="188">
        <v>74412.259999999995</v>
      </c>
    </row>
    <row r="409" spans="1:11" x14ac:dyDescent="0.25">
      <c r="A409" s="186" t="s">
        <v>988</v>
      </c>
      <c r="B409" s="187" t="s">
        <v>980</v>
      </c>
      <c r="C409" s="188">
        <v>557.02</v>
      </c>
      <c r="D409" s="188">
        <v>0</v>
      </c>
      <c r="E409" s="188">
        <v>460.94</v>
      </c>
      <c r="F409" s="188">
        <v>0</v>
      </c>
      <c r="G409" s="188">
        <v>586.54999999999995</v>
      </c>
      <c r="H409" s="188">
        <v>0</v>
      </c>
      <c r="I409" s="188">
        <v>499.58</v>
      </c>
      <c r="J409" s="188">
        <v>0</v>
      </c>
      <c r="K409" s="188">
        <v>2104.09</v>
      </c>
    </row>
    <row r="410" spans="1:11" x14ac:dyDescent="0.25">
      <c r="A410" s="186" t="s">
        <v>989</v>
      </c>
      <c r="B410" s="187" t="s">
        <v>972</v>
      </c>
      <c r="C410" s="188">
        <v>602.05999999999995</v>
      </c>
      <c r="D410" s="188">
        <v>0</v>
      </c>
      <c r="E410" s="188">
        <v>498.21</v>
      </c>
      <c r="F410" s="188">
        <v>0</v>
      </c>
      <c r="G410" s="188">
        <v>633.96</v>
      </c>
      <c r="H410" s="188">
        <v>0</v>
      </c>
      <c r="I410" s="188">
        <v>539.97</v>
      </c>
      <c r="J410" s="188">
        <v>0</v>
      </c>
      <c r="K410" s="188">
        <v>2274.1999999999998</v>
      </c>
    </row>
    <row r="411" spans="1:11" x14ac:dyDescent="0.25">
      <c r="A411" s="186" t="s">
        <v>990</v>
      </c>
      <c r="B411" s="187" t="s">
        <v>974</v>
      </c>
      <c r="C411" s="188">
        <v>4490.5600000000004</v>
      </c>
      <c r="D411" s="188">
        <v>0</v>
      </c>
      <c r="E411" s="188">
        <v>3715.99</v>
      </c>
      <c r="F411" s="188">
        <v>0</v>
      </c>
      <c r="G411" s="188">
        <v>4728.55</v>
      </c>
      <c r="H411" s="188">
        <v>0</v>
      </c>
      <c r="I411" s="188">
        <v>4027.47</v>
      </c>
      <c r="J411" s="188">
        <v>0</v>
      </c>
      <c r="K411" s="188">
        <v>16962.57</v>
      </c>
    </row>
    <row r="412" spans="1:11" x14ac:dyDescent="0.25">
      <c r="A412" s="186" t="s">
        <v>991</v>
      </c>
      <c r="B412" s="187" t="s">
        <v>976</v>
      </c>
      <c r="C412" s="188">
        <v>14049.77</v>
      </c>
      <c r="D412" s="188">
        <v>0</v>
      </c>
      <c r="E412" s="188">
        <v>11626.34</v>
      </c>
      <c r="F412" s="188">
        <v>0</v>
      </c>
      <c r="G412" s="188">
        <v>14794.39</v>
      </c>
      <c r="H412" s="188">
        <v>0</v>
      </c>
      <c r="I412" s="188">
        <v>12600.9</v>
      </c>
      <c r="J412" s="188">
        <v>0</v>
      </c>
      <c r="K412" s="188">
        <v>53071.4</v>
      </c>
    </row>
    <row r="413" spans="1:11" x14ac:dyDescent="0.25">
      <c r="A413" s="186" t="s">
        <v>992</v>
      </c>
      <c r="B413" s="187" t="s">
        <v>993</v>
      </c>
      <c r="C413" s="188">
        <v>691.89</v>
      </c>
      <c r="D413" s="188">
        <v>0</v>
      </c>
      <c r="E413" s="188">
        <v>572.54999999999995</v>
      </c>
      <c r="F413" s="188">
        <v>0</v>
      </c>
      <c r="G413" s="188">
        <v>728.55</v>
      </c>
      <c r="H413" s="188">
        <v>0</v>
      </c>
      <c r="I413" s="188">
        <v>620.53</v>
      </c>
      <c r="J413" s="188">
        <v>0</v>
      </c>
      <c r="K413" s="188">
        <v>2613.52</v>
      </c>
    </row>
    <row r="414" spans="1:11" x14ac:dyDescent="0.25">
      <c r="A414" s="186" t="s">
        <v>994</v>
      </c>
      <c r="B414" s="187" t="s">
        <v>980</v>
      </c>
      <c r="C414" s="188">
        <v>295.22000000000003</v>
      </c>
      <c r="D414" s="188">
        <v>0</v>
      </c>
      <c r="E414" s="188">
        <v>244.3</v>
      </c>
      <c r="F414" s="188">
        <v>0</v>
      </c>
      <c r="G414" s="188">
        <v>310.86</v>
      </c>
      <c r="H414" s="188">
        <v>0</v>
      </c>
      <c r="I414" s="188">
        <v>264.77</v>
      </c>
      <c r="J414" s="188">
        <v>0</v>
      </c>
      <c r="K414" s="188">
        <v>1115.1500000000001</v>
      </c>
    </row>
    <row r="415" spans="1:11" x14ac:dyDescent="0.25">
      <c r="A415" s="186" t="s">
        <v>995</v>
      </c>
      <c r="B415" s="187" t="s">
        <v>972</v>
      </c>
      <c r="C415" s="188">
        <v>396.67</v>
      </c>
      <c r="D415" s="188">
        <v>0</v>
      </c>
      <c r="E415" s="188">
        <v>328.25</v>
      </c>
      <c r="F415" s="188">
        <v>0</v>
      </c>
      <c r="G415" s="188">
        <v>417.69</v>
      </c>
      <c r="H415" s="188">
        <v>0</v>
      </c>
      <c r="I415" s="188">
        <v>355.76</v>
      </c>
      <c r="J415" s="188">
        <v>0</v>
      </c>
      <c r="K415" s="188">
        <v>1498.37</v>
      </c>
    </row>
    <row r="416" spans="1:11" x14ac:dyDescent="0.25">
      <c r="A416" s="186" t="s">
        <v>996</v>
      </c>
      <c r="B416" s="187" t="s">
        <v>997</v>
      </c>
      <c r="C416" s="188">
        <v>16517.3</v>
      </c>
      <c r="D416" s="188">
        <v>0</v>
      </c>
      <c r="E416" s="188">
        <v>16389.48</v>
      </c>
      <c r="F416" s="188">
        <v>0</v>
      </c>
      <c r="G416" s="188">
        <v>18737.37</v>
      </c>
      <c r="H416" s="188">
        <v>0</v>
      </c>
      <c r="I416" s="188">
        <v>18561.150000000001</v>
      </c>
      <c r="J416" s="188">
        <v>0</v>
      </c>
      <c r="K416" s="188">
        <v>70205.3</v>
      </c>
    </row>
    <row r="417" spans="1:11" x14ac:dyDescent="0.25">
      <c r="A417" s="186" t="s">
        <v>999</v>
      </c>
      <c r="B417" s="187" t="s">
        <v>1000</v>
      </c>
      <c r="C417" s="188">
        <v>3891.83</v>
      </c>
      <c r="D417" s="188">
        <v>0</v>
      </c>
      <c r="E417" s="188">
        <v>3845.85</v>
      </c>
      <c r="F417" s="188">
        <v>0</v>
      </c>
      <c r="G417" s="188">
        <v>4414.92</v>
      </c>
      <c r="H417" s="188">
        <v>0</v>
      </c>
      <c r="I417" s="188">
        <v>4373.3999999999996</v>
      </c>
      <c r="J417" s="188">
        <v>0</v>
      </c>
      <c r="K417" s="188">
        <v>16526</v>
      </c>
    </row>
    <row r="418" spans="1:11" x14ac:dyDescent="0.25">
      <c r="A418" s="186" t="s">
        <v>1001</v>
      </c>
      <c r="B418" s="187" t="s">
        <v>1002</v>
      </c>
      <c r="C418" s="188">
        <v>3891.83</v>
      </c>
      <c r="D418" s="188">
        <v>0</v>
      </c>
      <c r="E418" s="188">
        <v>3845.85</v>
      </c>
      <c r="F418" s="188">
        <v>0</v>
      </c>
      <c r="G418" s="188">
        <v>4414.92</v>
      </c>
      <c r="H418" s="188">
        <v>0</v>
      </c>
      <c r="I418" s="188">
        <v>4373.3999999999996</v>
      </c>
      <c r="J418" s="188">
        <v>0</v>
      </c>
      <c r="K418" s="188">
        <v>16526</v>
      </c>
    </row>
    <row r="419" spans="1:11" x14ac:dyDescent="0.25">
      <c r="A419" s="186" t="s">
        <v>1003</v>
      </c>
      <c r="B419" s="187" t="s">
        <v>1004</v>
      </c>
      <c r="C419" s="188">
        <v>3891.83</v>
      </c>
      <c r="D419" s="188">
        <v>0</v>
      </c>
      <c r="E419" s="188">
        <v>3845.85</v>
      </c>
      <c r="F419" s="188">
        <v>0</v>
      </c>
      <c r="G419" s="188">
        <v>4414.92</v>
      </c>
      <c r="H419" s="188">
        <v>0</v>
      </c>
      <c r="I419" s="188">
        <v>4373.3999999999996</v>
      </c>
      <c r="J419" s="188">
        <v>0</v>
      </c>
      <c r="K419" s="188">
        <v>16526</v>
      </c>
    </row>
    <row r="420" spans="1:11" x14ac:dyDescent="0.25">
      <c r="A420" s="186" t="s">
        <v>1005</v>
      </c>
      <c r="B420" s="187" t="s">
        <v>1006</v>
      </c>
      <c r="C420" s="188">
        <v>12625.47</v>
      </c>
      <c r="D420" s="188">
        <v>0</v>
      </c>
      <c r="E420" s="188">
        <v>12543.63</v>
      </c>
      <c r="F420" s="188">
        <v>0</v>
      </c>
      <c r="G420" s="188">
        <v>14322.45</v>
      </c>
      <c r="H420" s="188">
        <v>0</v>
      </c>
      <c r="I420" s="188">
        <v>14187.75</v>
      </c>
      <c r="J420" s="188">
        <v>0</v>
      </c>
      <c r="K420" s="188">
        <v>53679.3</v>
      </c>
    </row>
    <row r="421" spans="1:11" x14ac:dyDescent="0.25">
      <c r="A421" s="186" t="s">
        <v>1007</v>
      </c>
      <c r="B421" s="187" t="s">
        <v>1008</v>
      </c>
      <c r="C421" s="188">
        <v>5696.95</v>
      </c>
      <c r="D421" s="188">
        <v>0</v>
      </c>
      <c r="E421" s="188">
        <v>5696.95</v>
      </c>
      <c r="F421" s="188">
        <v>0</v>
      </c>
      <c r="G421" s="188">
        <v>6462.67</v>
      </c>
      <c r="H421" s="188">
        <v>0</v>
      </c>
      <c r="I421" s="188">
        <v>6401.89</v>
      </c>
      <c r="J421" s="188">
        <v>0</v>
      </c>
      <c r="K421" s="188">
        <v>24258.46</v>
      </c>
    </row>
    <row r="422" spans="1:11" x14ac:dyDescent="0.25">
      <c r="A422" s="186" t="s">
        <v>1009</v>
      </c>
      <c r="B422" s="187" t="s">
        <v>1010</v>
      </c>
      <c r="C422" s="188">
        <v>5696.95</v>
      </c>
      <c r="D422" s="188">
        <v>0</v>
      </c>
      <c r="E422" s="188">
        <v>5696.95</v>
      </c>
      <c r="F422" s="188">
        <v>0</v>
      </c>
      <c r="G422" s="188">
        <v>6462.67</v>
      </c>
      <c r="H422" s="188">
        <v>0</v>
      </c>
      <c r="I422" s="188">
        <v>6401.89</v>
      </c>
      <c r="J422" s="188">
        <v>0</v>
      </c>
      <c r="K422" s="188">
        <v>24258.46</v>
      </c>
    </row>
    <row r="423" spans="1:11" x14ac:dyDescent="0.25">
      <c r="A423" s="186" t="s">
        <v>1011</v>
      </c>
      <c r="B423" s="187" t="s">
        <v>665</v>
      </c>
      <c r="C423" s="188">
        <v>5696.95</v>
      </c>
      <c r="D423" s="188">
        <v>0</v>
      </c>
      <c r="E423" s="188">
        <v>5696.95</v>
      </c>
      <c r="F423" s="188">
        <v>0</v>
      </c>
      <c r="G423" s="188">
        <v>6462.67</v>
      </c>
      <c r="H423" s="188">
        <v>0</v>
      </c>
      <c r="I423" s="188">
        <v>6401.89</v>
      </c>
      <c r="J423" s="188">
        <v>0</v>
      </c>
      <c r="K423" s="188">
        <v>24258.46</v>
      </c>
    </row>
    <row r="424" spans="1:11" x14ac:dyDescent="0.25">
      <c r="A424" s="186" t="s">
        <v>1012</v>
      </c>
      <c r="B424" s="187" t="s">
        <v>666</v>
      </c>
      <c r="C424" s="188">
        <v>6928.52</v>
      </c>
      <c r="D424" s="188">
        <v>0</v>
      </c>
      <c r="E424" s="188">
        <v>6846.68</v>
      </c>
      <c r="F424" s="188">
        <v>0</v>
      </c>
      <c r="G424" s="188">
        <v>7859.78</v>
      </c>
      <c r="H424" s="188">
        <v>0</v>
      </c>
      <c r="I424" s="188">
        <v>7785.86</v>
      </c>
      <c r="J424" s="188">
        <v>0</v>
      </c>
      <c r="K424" s="188">
        <v>29420.84</v>
      </c>
    </row>
    <row r="425" spans="1:11" x14ac:dyDescent="0.25">
      <c r="A425" s="186" t="s">
        <v>1013</v>
      </c>
      <c r="B425" s="187" t="s">
        <v>1014</v>
      </c>
      <c r="C425" s="188">
        <v>6928.52</v>
      </c>
      <c r="D425" s="188">
        <v>0</v>
      </c>
      <c r="E425" s="188">
        <v>6846.68</v>
      </c>
      <c r="F425" s="188">
        <v>0</v>
      </c>
      <c r="G425" s="188">
        <v>7859.78</v>
      </c>
      <c r="H425" s="188">
        <v>0</v>
      </c>
      <c r="I425" s="188">
        <v>7785.86</v>
      </c>
      <c r="J425" s="188">
        <v>0</v>
      </c>
      <c r="K425" s="188">
        <v>29420.84</v>
      </c>
    </row>
    <row r="426" spans="1:11" x14ac:dyDescent="0.25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</row>
    <row r="428" spans="1:11" x14ac:dyDescent="0.25">
      <c r="A428" s="290" t="s">
        <v>192</v>
      </c>
      <c r="B428" s="290"/>
      <c r="C428" s="290" t="s">
        <v>193</v>
      </c>
      <c r="D428" s="290"/>
      <c r="E428" s="290"/>
      <c r="G428" s="183" t="s">
        <v>194</v>
      </c>
      <c r="I428" s="314" t="s">
        <v>195</v>
      </c>
      <c r="J428" s="314"/>
    </row>
    <row r="429" spans="1:11" x14ac:dyDescent="0.25">
      <c r="A429" s="307" t="s">
        <v>196</v>
      </c>
      <c r="B429" s="307"/>
      <c r="C429" s="307"/>
      <c r="D429" s="307"/>
      <c r="E429" s="307"/>
      <c r="F429" s="307"/>
      <c r="G429" s="307"/>
      <c r="H429" s="307"/>
    </row>
    <row r="430" spans="1:11" ht="15.75" x14ac:dyDescent="0.25">
      <c r="A430" s="308" t="s">
        <v>197</v>
      </c>
      <c r="B430" s="308"/>
      <c r="C430" s="310" t="s">
        <v>198</v>
      </c>
      <c r="D430" s="310"/>
      <c r="E430" s="310"/>
      <c r="F430" s="310"/>
      <c r="G430" s="310"/>
      <c r="H430" s="310"/>
      <c r="I430" s="310"/>
      <c r="J430" s="310"/>
      <c r="K430" s="310"/>
    </row>
    <row r="431" spans="1:11" ht="15.75" x14ac:dyDescent="0.25">
      <c r="A431" s="309"/>
      <c r="B431" s="309"/>
      <c r="C431" s="311">
        <v>2022</v>
      </c>
      <c r="D431" s="311"/>
      <c r="E431" s="311">
        <v>2023</v>
      </c>
      <c r="F431" s="311"/>
      <c r="G431" s="311">
        <v>2024</v>
      </c>
      <c r="H431" s="311"/>
      <c r="I431" s="311">
        <v>2025</v>
      </c>
      <c r="J431" s="311"/>
      <c r="K431" s="312" t="s">
        <v>90</v>
      </c>
    </row>
    <row r="432" spans="1:11" ht="15.75" x14ac:dyDescent="0.25">
      <c r="A432" s="308"/>
      <c r="B432" s="308"/>
      <c r="C432" s="184" t="s">
        <v>199</v>
      </c>
      <c r="D432" s="184" t="s">
        <v>200</v>
      </c>
      <c r="E432" s="184" t="s">
        <v>199</v>
      </c>
      <c r="F432" s="184" t="s">
        <v>200</v>
      </c>
      <c r="G432" s="184" t="s">
        <v>199</v>
      </c>
      <c r="H432" s="184" t="s">
        <v>200</v>
      </c>
      <c r="I432" s="184" t="s">
        <v>199</v>
      </c>
      <c r="J432" s="184" t="s">
        <v>200</v>
      </c>
      <c r="K432" s="313"/>
    </row>
    <row r="433" spans="1:11" x14ac:dyDescent="0.25">
      <c r="A433" s="315" t="s">
        <v>673</v>
      </c>
      <c r="B433" s="315"/>
      <c r="C433" s="185"/>
      <c r="D433" s="185"/>
      <c r="E433" s="185"/>
      <c r="F433" s="185"/>
      <c r="G433" s="185"/>
      <c r="H433" s="185"/>
      <c r="I433" s="185"/>
      <c r="J433" s="185"/>
      <c r="K433" s="185"/>
    </row>
    <row r="434" spans="1:11" x14ac:dyDescent="0.25">
      <c r="A434" s="186" t="s">
        <v>674</v>
      </c>
      <c r="B434" s="187" t="s">
        <v>675</v>
      </c>
      <c r="C434" s="188">
        <v>6081.85</v>
      </c>
      <c r="D434" s="188">
        <v>0</v>
      </c>
      <c r="E434" s="188">
        <v>5018.75</v>
      </c>
      <c r="F434" s="188">
        <v>0</v>
      </c>
      <c r="G434" s="188">
        <v>5933.13</v>
      </c>
      <c r="H434" s="188">
        <v>0</v>
      </c>
      <c r="I434" s="188">
        <v>5342.7</v>
      </c>
      <c r="J434" s="188">
        <v>0</v>
      </c>
      <c r="K434" s="188">
        <v>22376.43</v>
      </c>
    </row>
    <row r="435" spans="1:11" x14ac:dyDescent="0.25">
      <c r="A435" s="186" t="s">
        <v>1015</v>
      </c>
      <c r="B435" s="187" t="s">
        <v>1016</v>
      </c>
      <c r="C435" s="188">
        <v>6081.85</v>
      </c>
      <c r="D435" s="188">
        <v>0</v>
      </c>
      <c r="E435" s="188">
        <v>5018.75</v>
      </c>
      <c r="F435" s="188">
        <v>0</v>
      </c>
      <c r="G435" s="188">
        <v>5933.13</v>
      </c>
      <c r="H435" s="188">
        <v>0</v>
      </c>
      <c r="I435" s="188">
        <v>5342.7</v>
      </c>
      <c r="J435" s="188">
        <v>0</v>
      </c>
      <c r="K435" s="188">
        <v>22376.43</v>
      </c>
    </row>
    <row r="436" spans="1:11" x14ac:dyDescent="0.25">
      <c r="A436" s="186" t="s">
        <v>1017</v>
      </c>
      <c r="B436" s="187" t="s">
        <v>1018</v>
      </c>
      <c r="C436" s="188">
        <v>6081.85</v>
      </c>
      <c r="D436" s="188">
        <v>0</v>
      </c>
      <c r="E436" s="188">
        <v>5018.75</v>
      </c>
      <c r="F436" s="188">
        <v>0</v>
      </c>
      <c r="G436" s="188">
        <v>5933.13</v>
      </c>
      <c r="H436" s="188">
        <v>0</v>
      </c>
      <c r="I436" s="188">
        <v>5342.7</v>
      </c>
      <c r="J436" s="188">
        <v>0</v>
      </c>
      <c r="K436" s="188">
        <v>22376.43</v>
      </c>
    </row>
    <row r="437" spans="1:11" x14ac:dyDescent="0.25">
      <c r="A437" s="186" t="s">
        <v>1019</v>
      </c>
      <c r="B437" s="187" t="s">
        <v>1018</v>
      </c>
      <c r="C437" s="188">
        <v>6081.85</v>
      </c>
      <c r="D437" s="188">
        <v>0</v>
      </c>
      <c r="E437" s="188">
        <v>5018.75</v>
      </c>
      <c r="F437" s="188">
        <v>0</v>
      </c>
      <c r="G437" s="188">
        <v>5933.13</v>
      </c>
      <c r="H437" s="188">
        <v>0</v>
      </c>
      <c r="I437" s="188">
        <v>5342.7</v>
      </c>
      <c r="J437" s="188">
        <v>0</v>
      </c>
      <c r="K437" s="188">
        <v>22376.43</v>
      </c>
    </row>
    <row r="438" spans="1:11" x14ac:dyDescent="0.25">
      <c r="A438" s="186" t="s">
        <v>1020</v>
      </c>
      <c r="B438" s="187" t="s">
        <v>1021</v>
      </c>
      <c r="C438" s="188">
        <v>6081.85</v>
      </c>
      <c r="D438" s="188">
        <v>0</v>
      </c>
      <c r="E438" s="188">
        <v>5018.75</v>
      </c>
      <c r="F438" s="188">
        <v>0</v>
      </c>
      <c r="G438" s="188">
        <v>5933.13</v>
      </c>
      <c r="H438" s="188">
        <v>0</v>
      </c>
      <c r="I438" s="188">
        <v>5342.7</v>
      </c>
      <c r="J438" s="188">
        <v>0</v>
      </c>
      <c r="K438" s="188">
        <v>22376.43</v>
      </c>
    </row>
    <row r="439" spans="1:11" x14ac:dyDescent="0.25">
      <c r="A439" s="186" t="s">
        <v>1022</v>
      </c>
      <c r="B439" s="187" t="s">
        <v>1023</v>
      </c>
      <c r="C439" s="188">
        <v>6081.85</v>
      </c>
      <c r="D439" s="188">
        <v>0</v>
      </c>
      <c r="E439" s="188">
        <v>5018.75</v>
      </c>
      <c r="F439" s="188">
        <v>0</v>
      </c>
      <c r="G439" s="188">
        <v>5933.13</v>
      </c>
      <c r="H439" s="188">
        <v>0</v>
      </c>
      <c r="I439" s="188">
        <v>5342.7</v>
      </c>
      <c r="J439" s="188">
        <v>0</v>
      </c>
      <c r="K439" s="188">
        <v>22376.43</v>
      </c>
    </row>
    <row r="440" spans="1:11" x14ac:dyDescent="0.25">
      <c r="A440" s="315" t="s">
        <v>418</v>
      </c>
      <c r="B440" s="315"/>
      <c r="C440" s="189">
        <v>131820569.20999999</v>
      </c>
      <c r="D440" s="189">
        <v>0</v>
      </c>
      <c r="E440" s="189">
        <v>145035624.22999999</v>
      </c>
      <c r="F440" s="189">
        <v>0</v>
      </c>
      <c r="G440" s="189">
        <v>157484086.93000001</v>
      </c>
      <c r="H440" s="189">
        <v>0</v>
      </c>
      <c r="I440" s="189">
        <v>171803109.05000001</v>
      </c>
      <c r="J440" s="189">
        <v>0</v>
      </c>
      <c r="K440" s="189">
        <v>606143389.41999996</v>
      </c>
    </row>
    <row r="441" spans="1:11" x14ac:dyDescent="0.25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</row>
    <row r="442" spans="1:11" x14ac:dyDescent="0.25">
      <c r="A442" s="315" t="s">
        <v>419</v>
      </c>
      <c r="B442" s="315"/>
      <c r="C442" s="185"/>
      <c r="D442" s="185"/>
      <c r="E442" s="185"/>
      <c r="F442" s="185"/>
      <c r="G442" s="185"/>
      <c r="H442" s="185"/>
      <c r="I442" s="185"/>
      <c r="J442" s="185"/>
      <c r="K442" s="185"/>
    </row>
    <row r="443" spans="1:11" x14ac:dyDescent="0.25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</row>
    <row r="444" spans="1:11" x14ac:dyDescent="0.25">
      <c r="A444" s="315" t="s">
        <v>25</v>
      </c>
      <c r="B444" s="315"/>
      <c r="C444" s="185"/>
      <c r="D444" s="185"/>
      <c r="E444" s="185"/>
      <c r="F444" s="185"/>
      <c r="G444" s="185"/>
      <c r="H444" s="185"/>
      <c r="I444" s="185"/>
      <c r="J444" s="185"/>
      <c r="K444" s="185"/>
    </row>
    <row r="445" spans="1:11" x14ac:dyDescent="0.25">
      <c r="A445" s="186" t="s">
        <v>202</v>
      </c>
      <c r="B445" s="187" t="s">
        <v>201</v>
      </c>
      <c r="C445" s="188">
        <v>14439208.710000001</v>
      </c>
      <c r="D445" s="188">
        <v>0</v>
      </c>
      <c r="E445" s="188">
        <v>15379814.66</v>
      </c>
      <c r="F445" s="188">
        <v>0</v>
      </c>
      <c r="G445" s="188">
        <v>16958030.23</v>
      </c>
      <c r="H445" s="188">
        <v>0</v>
      </c>
      <c r="I445" s="188">
        <v>18689617.43</v>
      </c>
      <c r="J445" s="188">
        <v>0</v>
      </c>
      <c r="K445" s="188">
        <v>65466671.030000001</v>
      </c>
    </row>
    <row r="446" spans="1:11" x14ac:dyDescent="0.25">
      <c r="A446" s="186" t="s">
        <v>336</v>
      </c>
      <c r="B446" s="187" t="s">
        <v>337</v>
      </c>
      <c r="C446" s="188">
        <v>14439208.710000001</v>
      </c>
      <c r="D446" s="188">
        <v>0</v>
      </c>
      <c r="E446" s="188">
        <v>15379814.66</v>
      </c>
      <c r="F446" s="188">
        <v>0</v>
      </c>
      <c r="G446" s="188">
        <v>16958030.23</v>
      </c>
      <c r="H446" s="188">
        <v>0</v>
      </c>
      <c r="I446" s="188">
        <v>18689617.43</v>
      </c>
      <c r="J446" s="188">
        <v>0</v>
      </c>
      <c r="K446" s="188">
        <v>65466671.030000001</v>
      </c>
    </row>
    <row r="447" spans="1:11" x14ac:dyDescent="0.25">
      <c r="A447" s="186" t="s">
        <v>338</v>
      </c>
      <c r="B447" s="187" t="s">
        <v>339</v>
      </c>
      <c r="C447" s="188">
        <v>5897044.1799999997</v>
      </c>
      <c r="D447" s="188">
        <v>0</v>
      </c>
      <c r="E447" s="188">
        <v>6233935.9199999999</v>
      </c>
      <c r="F447" s="188">
        <v>0</v>
      </c>
      <c r="G447" s="188">
        <v>6863841.5099999998</v>
      </c>
      <c r="H447" s="188">
        <v>0</v>
      </c>
      <c r="I447" s="188">
        <v>7562667.7300000004</v>
      </c>
      <c r="J447" s="188">
        <v>0</v>
      </c>
      <c r="K447" s="188">
        <v>26557489.34</v>
      </c>
    </row>
    <row r="448" spans="1:11" x14ac:dyDescent="0.25">
      <c r="A448" s="186" t="s">
        <v>340</v>
      </c>
      <c r="B448" s="187" t="s">
        <v>341</v>
      </c>
      <c r="C448" s="188">
        <v>5897044.1799999997</v>
      </c>
      <c r="D448" s="188">
        <v>0</v>
      </c>
      <c r="E448" s="188">
        <v>6233935.9199999999</v>
      </c>
      <c r="F448" s="188">
        <v>0</v>
      </c>
      <c r="G448" s="188">
        <v>6863841.5099999998</v>
      </c>
      <c r="H448" s="188">
        <v>0</v>
      </c>
      <c r="I448" s="188">
        <v>7562667.7300000004</v>
      </c>
      <c r="J448" s="188">
        <v>0</v>
      </c>
      <c r="K448" s="188">
        <v>26557489.34</v>
      </c>
    </row>
    <row r="449" spans="1:11" x14ac:dyDescent="0.25">
      <c r="A449" s="186" t="s">
        <v>342</v>
      </c>
      <c r="B449" s="187" t="s">
        <v>343</v>
      </c>
      <c r="C449" s="188">
        <v>5897044.1799999997</v>
      </c>
      <c r="D449" s="188">
        <v>0</v>
      </c>
      <c r="E449" s="188">
        <v>6233935.9199999999</v>
      </c>
      <c r="F449" s="188">
        <v>0</v>
      </c>
      <c r="G449" s="188">
        <v>6863841.5099999998</v>
      </c>
      <c r="H449" s="188">
        <v>0</v>
      </c>
      <c r="I449" s="188">
        <v>7562667.7300000004</v>
      </c>
      <c r="J449" s="188">
        <v>0</v>
      </c>
      <c r="K449" s="188">
        <v>26557489.34</v>
      </c>
    </row>
    <row r="450" spans="1:11" x14ac:dyDescent="0.25">
      <c r="A450" s="186" t="s">
        <v>344</v>
      </c>
      <c r="B450" s="187" t="s">
        <v>345</v>
      </c>
      <c r="C450" s="188">
        <v>5659104.3300000001</v>
      </c>
      <c r="D450" s="188">
        <v>0</v>
      </c>
      <c r="E450" s="188">
        <v>6046374.04</v>
      </c>
      <c r="F450" s="188">
        <v>0</v>
      </c>
      <c r="G450" s="188">
        <v>6647958.79</v>
      </c>
      <c r="H450" s="188">
        <v>0</v>
      </c>
      <c r="I450" s="188">
        <v>7339716.5099999998</v>
      </c>
      <c r="J450" s="188">
        <v>0</v>
      </c>
      <c r="K450" s="188">
        <v>25693153.670000002</v>
      </c>
    </row>
    <row r="451" spans="1:11" x14ac:dyDescent="0.25">
      <c r="A451" s="186" t="s">
        <v>346</v>
      </c>
      <c r="B451" s="187" t="s">
        <v>347</v>
      </c>
      <c r="C451" s="188">
        <v>5659104.3300000001</v>
      </c>
      <c r="D451" s="188">
        <v>0</v>
      </c>
      <c r="E451" s="188">
        <v>6046374.04</v>
      </c>
      <c r="F451" s="188">
        <v>0</v>
      </c>
      <c r="G451" s="188">
        <v>6647958.79</v>
      </c>
      <c r="H451" s="188">
        <v>0</v>
      </c>
      <c r="I451" s="188">
        <v>7339716.5099999998</v>
      </c>
      <c r="J451" s="188">
        <v>0</v>
      </c>
      <c r="K451" s="188">
        <v>25693153.670000002</v>
      </c>
    </row>
    <row r="452" spans="1:11" x14ac:dyDescent="0.25">
      <c r="A452" s="186" t="s">
        <v>354</v>
      </c>
      <c r="B452" s="187" t="s">
        <v>355</v>
      </c>
      <c r="C452" s="188">
        <v>5659104.3300000001</v>
      </c>
      <c r="D452" s="188">
        <v>0</v>
      </c>
      <c r="E452" s="188">
        <v>6046374.04</v>
      </c>
      <c r="F452" s="188">
        <v>0</v>
      </c>
      <c r="G452" s="188">
        <v>6647958.79</v>
      </c>
      <c r="H452" s="188">
        <v>0</v>
      </c>
      <c r="I452" s="188">
        <v>7339716.5099999998</v>
      </c>
      <c r="J452" s="188">
        <v>0</v>
      </c>
      <c r="K452" s="188">
        <v>25693153.670000002</v>
      </c>
    </row>
    <row r="453" spans="1:11" x14ac:dyDescent="0.25">
      <c r="A453" s="186" t="s">
        <v>376</v>
      </c>
      <c r="B453" s="187" t="s">
        <v>377</v>
      </c>
      <c r="C453" s="188">
        <v>237939.85</v>
      </c>
      <c r="D453" s="188">
        <v>0</v>
      </c>
      <c r="E453" s="188">
        <v>187561.88</v>
      </c>
      <c r="F453" s="188">
        <v>0</v>
      </c>
      <c r="G453" s="188">
        <v>215882.72</v>
      </c>
      <c r="H453" s="188">
        <v>0</v>
      </c>
      <c r="I453" s="188">
        <v>222951.22</v>
      </c>
      <c r="J453" s="188">
        <v>0</v>
      </c>
      <c r="K453" s="188">
        <v>864335.67</v>
      </c>
    </row>
    <row r="454" spans="1:11" x14ac:dyDescent="0.25">
      <c r="A454" s="186" t="s">
        <v>378</v>
      </c>
      <c r="B454" s="187" t="s">
        <v>379</v>
      </c>
      <c r="C454" s="188">
        <v>237939.85</v>
      </c>
      <c r="D454" s="188">
        <v>0</v>
      </c>
      <c r="E454" s="188">
        <v>187561.88</v>
      </c>
      <c r="F454" s="188">
        <v>0</v>
      </c>
      <c r="G454" s="188">
        <v>215882.72</v>
      </c>
      <c r="H454" s="188">
        <v>0</v>
      </c>
      <c r="I454" s="188">
        <v>222951.22</v>
      </c>
      <c r="J454" s="188">
        <v>0</v>
      </c>
      <c r="K454" s="188">
        <v>864335.67</v>
      </c>
    </row>
    <row r="455" spans="1:11" x14ac:dyDescent="0.25">
      <c r="A455" s="186" t="s">
        <v>386</v>
      </c>
      <c r="B455" s="187" t="s">
        <v>387</v>
      </c>
      <c r="C455" s="188">
        <v>237939.85</v>
      </c>
      <c r="D455" s="188">
        <v>0</v>
      </c>
      <c r="E455" s="188">
        <v>187561.88</v>
      </c>
      <c r="F455" s="188">
        <v>0</v>
      </c>
      <c r="G455" s="188">
        <v>215882.72</v>
      </c>
      <c r="H455" s="188">
        <v>0</v>
      </c>
      <c r="I455" s="188">
        <v>222951.22</v>
      </c>
      <c r="J455" s="188">
        <v>0</v>
      </c>
      <c r="K455" s="188">
        <v>864335.67</v>
      </c>
    </row>
    <row r="456" spans="1:11" x14ac:dyDescent="0.25">
      <c r="A456" s="186" t="s">
        <v>388</v>
      </c>
      <c r="B456" s="187" t="s">
        <v>389</v>
      </c>
      <c r="C456" s="188">
        <v>8542164.5299999993</v>
      </c>
      <c r="D456" s="188">
        <v>0</v>
      </c>
      <c r="E456" s="188">
        <v>9145878.7400000002</v>
      </c>
      <c r="F456" s="188">
        <v>0</v>
      </c>
      <c r="G456" s="188">
        <v>10094188.720000001</v>
      </c>
      <c r="H456" s="188">
        <v>0</v>
      </c>
      <c r="I456" s="188">
        <v>11126949.699999999</v>
      </c>
      <c r="J456" s="188">
        <v>0</v>
      </c>
      <c r="K456" s="188">
        <v>38909181.689999998</v>
      </c>
    </row>
    <row r="457" spans="1:11" x14ac:dyDescent="0.25">
      <c r="A457" s="186" t="s">
        <v>390</v>
      </c>
      <c r="B457" s="187" t="s">
        <v>391</v>
      </c>
      <c r="C457" s="188">
        <v>8542164.5299999993</v>
      </c>
      <c r="D457" s="188">
        <v>0</v>
      </c>
      <c r="E457" s="188">
        <v>9145878.7400000002</v>
      </c>
      <c r="F457" s="188">
        <v>0</v>
      </c>
      <c r="G457" s="188">
        <v>10094188.720000001</v>
      </c>
      <c r="H457" s="188">
        <v>0</v>
      </c>
      <c r="I457" s="188">
        <v>11126949.699999999</v>
      </c>
      <c r="J457" s="188">
        <v>0</v>
      </c>
      <c r="K457" s="188">
        <v>38909181.689999998</v>
      </c>
    </row>
    <row r="458" spans="1:11" x14ac:dyDescent="0.25">
      <c r="A458" s="186" t="s">
        <v>392</v>
      </c>
      <c r="B458" s="187" t="s">
        <v>393</v>
      </c>
      <c r="C458" s="188">
        <v>8542164.5299999993</v>
      </c>
      <c r="D458" s="188">
        <v>0</v>
      </c>
      <c r="E458" s="188">
        <v>9145878.7400000002</v>
      </c>
      <c r="F458" s="188">
        <v>0</v>
      </c>
      <c r="G458" s="188">
        <v>10094188.720000001</v>
      </c>
      <c r="H458" s="188">
        <v>0</v>
      </c>
      <c r="I458" s="188">
        <v>11126949.699999999</v>
      </c>
      <c r="J458" s="188">
        <v>0</v>
      </c>
      <c r="K458" s="188">
        <v>38909181.689999998</v>
      </c>
    </row>
    <row r="459" spans="1:11" x14ac:dyDescent="0.25">
      <c r="A459" s="186" t="s">
        <v>394</v>
      </c>
      <c r="B459" s="187" t="s">
        <v>395</v>
      </c>
      <c r="C459" s="188">
        <v>7649359.2699999996</v>
      </c>
      <c r="D459" s="188">
        <v>0</v>
      </c>
      <c r="E459" s="188">
        <v>8192825.46</v>
      </c>
      <c r="F459" s="188">
        <v>0</v>
      </c>
      <c r="G459" s="188">
        <v>9050700.0299999993</v>
      </c>
      <c r="H459" s="188">
        <v>0</v>
      </c>
      <c r="I459" s="188">
        <v>9973099.7400000002</v>
      </c>
      <c r="J459" s="188">
        <v>0</v>
      </c>
      <c r="K459" s="188">
        <v>34865984.5</v>
      </c>
    </row>
    <row r="460" spans="1:11" x14ac:dyDescent="0.25">
      <c r="A460" s="186" t="s">
        <v>396</v>
      </c>
      <c r="B460" s="187" t="s">
        <v>397</v>
      </c>
      <c r="C460" s="188">
        <v>7649359.2699999996</v>
      </c>
      <c r="D460" s="188">
        <v>0</v>
      </c>
      <c r="E460" s="188">
        <v>8192825.46</v>
      </c>
      <c r="F460" s="188">
        <v>0</v>
      </c>
      <c r="G460" s="188">
        <v>9050700.0299999993</v>
      </c>
      <c r="H460" s="188">
        <v>0</v>
      </c>
      <c r="I460" s="188">
        <v>9973099.7400000002</v>
      </c>
      <c r="J460" s="188">
        <v>0</v>
      </c>
      <c r="K460" s="188">
        <v>34865984.5</v>
      </c>
    </row>
    <row r="461" spans="1:11" x14ac:dyDescent="0.25">
      <c r="A461" s="186" t="s">
        <v>404</v>
      </c>
      <c r="B461" s="187" t="s">
        <v>405</v>
      </c>
      <c r="C461" s="188">
        <v>7649359.2699999996</v>
      </c>
      <c r="D461" s="188">
        <v>0</v>
      </c>
      <c r="E461" s="188">
        <v>8192825.46</v>
      </c>
      <c r="F461" s="188">
        <v>0</v>
      </c>
      <c r="G461" s="188">
        <v>9050700.0299999993</v>
      </c>
      <c r="H461" s="188">
        <v>0</v>
      </c>
      <c r="I461" s="188">
        <v>9973099.7400000002</v>
      </c>
      <c r="J461" s="188">
        <v>0</v>
      </c>
      <c r="K461" s="188">
        <v>34865984.5</v>
      </c>
    </row>
    <row r="462" spans="1:11" x14ac:dyDescent="0.25">
      <c r="A462" s="186" t="s">
        <v>424</v>
      </c>
      <c r="B462" s="187" t="s">
        <v>425</v>
      </c>
      <c r="C462" s="188">
        <v>780568.77</v>
      </c>
      <c r="D462" s="188">
        <v>0</v>
      </c>
      <c r="E462" s="188">
        <v>835746.15</v>
      </c>
      <c r="F462" s="188">
        <v>0</v>
      </c>
      <c r="G462" s="188">
        <v>913492.64</v>
      </c>
      <c r="H462" s="188">
        <v>0</v>
      </c>
      <c r="I462" s="188">
        <v>1011667.02</v>
      </c>
      <c r="J462" s="188">
        <v>0</v>
      </c>
      <c r="K462" s="188">
        <v>3541474.58</v>
      </c>
    </row>
    <row r="463" spans="1:11" x14ac:dyDescent="0.25">
      <c r="A463" s="186" t="s">
        <v>426</v>
      </c>
      <c r="B463" s="187" t="s">
        <v>427</v>
      </c>
      <c r="C463" s="188">
        <v>780568.77</v>
      </c>
      <c r="D463" s="188">
        <v>0</v>
      </c>
      <c r="E463" s="188">
        <v>835746.15</v>
      </c>
      <c r="F463" s="188">
        <v>0</v>
      </c>
      <c r="G463" s="188">
        <v>913492.64</v>
      </c>
      <c r="H463" s="188">
        <v>0</v>
      </c>
      <c r="I463" s="188">
        <v>1011667.02</v>
      </c>
      <c r="J463" s="188">
        <v>0</v>
      </c>
      <c r="K463" s="188">
        <v>3541474.58</v>
      </c>
    </row>
    <row r="465" spans="1:11" x14ac:dyDescent="0.25">
      <c r="A465" s="290" t="s">
        <v>192</v>
      </c>
      <c r="B465" s="290"/>
      <c r="C465" s="290" t="s">
        <v>193</v>
      </c>
      <c r="D465" s="290"/>
      <c r="E465" s="290"/>
      <c r="G465" s="183" t="s">
        <v>194</v>
      </c>
      <c r="I465" s="314" t="s">
        <v>195</v>
      </c>
      <c r="J465" s="314"/>
    </row>
    <row r="466" spans="1:11" x14ac:dyDescent="0.25">
      <c r="A466" s="307" t="s">
        <v>196</v>
      </c>
      <c r="B466" s="307"/>
      <c r="C466" s="307"/>
      <c r="D466" s="307"/>
      <c r="E466" s="307"/>
      <c r="F466" s="307"/>
      <c r="G466" s="307"/>
      <c r="H466" s="307"/>
    </row>
    <row r="467" spans="1:11" ht="15.75" x14ac:dyDescent="0.25">
      <c r="A467" s="308" t="s">
        <v>197</v>
      </c>
      <c r="B467" s="308"/>
      <c r="C467" s="310" t="s">
        <v>198</v>
      </c>
      <c r="D467" s="310"/>
      <c r="E467" s="310"/>
      <c r="F467" s="310"/>
      <c r="G467" s="310"/>
      <c r="H467" s="310"/>
      <c r="I467" s="310"/>
      <c r="J467" s="310"/>
      <c r="K467" s="310"/>
    </row>
    <row r="468" spans="1:11" ht="15.75" x14ac:dyDescent="0.25">
      <c r="A468" s="309"/>
      <c r="B468" s="309"/>
      <c r="C468" s="311">
        <v>2022</v>
      </c>
      <c r="D468" s="311"/>
      <c r="E468" s="311">
        <v>2023</v>
      </c>
      <c r="F468" s="311"/>
      <c r="G468" s="311">
        <v>2024</v>
      </c>
      <c r="H468" s="311"/>
      <c r="I468" s="311">
        <v>2025</v>
      </c>
      <c r="J468" s="311"/>
      <c r="K468" s="312" t="s">
        <v>90</v>
      </c>
    </row>
    <row r="469" spans="1:11" ht="15.75" x14ac:dyDescent="0.25">
      <c r="A469" s="308"/>
      <c r="B469" s="308"/>
      <c r="C469" s="184" t="s">
        <v>199</v>
      </c>
      <c r="D469" s="184" t="s">
        <v>200</v>
      </c>
      <c r="E469" s="184" t="s">
        <v>199</v>
      </c>
      <c r="F469" s="184" t="s">
        <v>200</v>
      </c>
      <c r="G469" s="184" t="s">
        <v>199</v>
      </c>
      <c r="H469" s="184" t="s">
        <v>200</v>
      </c>
      <c r="I469" s="184" t="s">
        <v>199</v>
      </c>
      <c r="J469" s="184" t="s">
        <v>200</v>
      </c>
      <c r="K469" s="313"/>
    </row>
    <row r="470" spans="1:11" x14ac:dyDescent="0.25">
      <c r="A470" s="186" t="s">
        <v>434</v>
      </c>
      <c r="B470" s="187" t="s">
        <v>435</v>
      </c>
      <c r="C470" s="188">
        <v>780568.77</v>
      </c>
      <c r="D470" s="188">
        <v>0</v>
      </c>
      <c r="E470" s="188">
        <v>835746.15</v>
      </c>
      <c r="F470" s="188">
        <v>0</v>
      </c>
      <c r="G470" s="188">
        <v>913492.64</v>
      </c>
      <c r="H470" s="188">
        <v>0</v>
      </c>
      <c r="I470" s="188">
        <v>1011667.02</v>
      </c>
      <c r="J470" s="188">
        <v>0</v>
      </c>
      <c r="K470" s="188">
        <v>3541474.58</v>
      </c>
    </row>
    <row r="471" spans="1:11" x14ac:dyDescent="0.25">
      <c r="A471" s="186" t="s">
        <v>406</v>
      </c>
      <c r="B471" s="187" t="s">
        <v>407</v>
      </c>
      <c r="C471" s="188">
        <v>112236.49</v>
      </c>
      <c r="D471" s="188">
        <v>0</v>
      </c>
      <c r="E471" s="188">
        <v>117307.13</v>
      </c>
      <c r="F471" s="188">
        <v>0</v>
      </c>
      <c r="G471" s="188">
        <v>129996.05</v>
      </c>
      <c r="H471" s="188">
        <v>0</v>
      </c>
      <c r="I471" s="188">
        <v>142182.94</v>
      </c>
      <c r="J471" s="188">
        <v>0</v>
      </c>
      <c r="K471" s="188">
        <v>501722.61</v>
      </c>
    </row>
    <row r="472" spans="1:11" x14ac:dyDescent="0.25">
      <c r="A472" s="186" t="s">
        <v>408</v>
      </c>
      <c r="B472" s="187" t="s">
        <v>409</v>
      </c>
      <c r="C472" s="188">
        <v>112236.49</v>
      </c>
      <c r="D472" s="188">
        <v>0</v>
      </c>
      <c r="E472" s="188">
        <v>117307.13</v>
      </c>
      <c r="F472" s="188">
        <v>0</v>
      </c>
      <c r="G472" s="188">
        <v>129996.05</v>
      </c>
      <c r="H472" s="188">
        <v>0</v>
      </c>
      <c r="I472" s="188">
        <v>142182.94</v>
      </c>
      <c r="J472" s="188">
        <v>0</v>
      </c>
      <c r="K472" s="188">
        <v>501722.61</v>
      </c>
    </row>
    <row r="473" spans="1:11" x14ac:dyDescent="0.25">
      <c r="A473" s="186" t="s">
        <v>416</v>
      </c>
      <c r="B473" s="187" t="s">
        <v>417</v>
      </c>
      <c r="C473" s="188">
        <v>112236.49</v>
      </c>
      <c r="D473" s="188">
        <v>0</v>
      </c>
      <c r="E473" s="188">
        <v>117307.13</v>
      </c>
      <c r="F473" s="188">
        <v>0</v>
      </c>
      <c r="G473" s="188">
        <v>129996.05</v>
      </c>
      <c r="H473" s="188">
        <v>0</v>
      </c>
      <c r="I473" s="188">
        <v>142182.94</v>
      </c>
      <c r="J473" s="188">
        <v>0</v>
      </c>
      <c r="K473" s="188">
        <v>501722.61</v>
      </c>
    </row>
    <row r="474" spans="1:11" x14ac:dyDescent="0.25">
      <c r="A474" s="315" t="s">
        <v>420</v>
      </c>
      <c r="B474" s="315"/>
      <c r="C474" s="189">
        <v>14439208.710000001</v>
      </c>
      <c r="D474" s="189">
        <v>0</v>
      </c>
      <c r="E474" s="189">
        <v>15379814.66</v>
      </c>
      <c r="F474" s="189">
        <v>0</v>
      </c>
      <c r="G474" s="189">
        <v>16958030.23</v>
      </c>
      <c r="H474" s="189">
        <v>0</v>
      </c>
      <c r="I474" s="189">
        <v>18689617.43</v>
      </c>
      <c r="J474" s="189">
        <v>0</v>
      </c>
      <c r="K474" s="189">
        <v>65466671.030000001</v>
      </c>
    </row>
    <row r="475" spans="1:11" x14ac:dyDescent="0.25">
      <c r="A475" s="315" t="s">
        <v>421</v>
      </c>
      <c r="B475" s="315"/>
      <c r="C475" s="189">
        <v>117381360.5</v>
      </c>
      <c r="D475" s="189">
        <v>0</v>
      </c>
      <c r="E475" s="189">
        <v>129655809.56999999</v>
      </c>
      <c r="F475" s="189">
        <v>0</v>
      </c>
      <c r="G475" s="189">
        <v>140526056.69999999</v>
      </c>
      <c r="H475" s="189">
        <v>0</v>
      </c>
      <c r="I475" s="189">
        <v>153113491.62</v>
      </c>
      <c r="J475" s="189">
        <v>0</v>
      </c>
      <c r="K475" s="320">
        <v>540676718.38999999</v>
      </c>
    </row>
    <row r="476" spans="1:11" x14ac:dyDescent="0.25">
      <c r="A476" s="315" t="s">
        <v>422</v>
      </c>
      <c r="B476" s="315"/>
      <c r="C476" s="321">
        <v>117381360.5</v>
      </c>
      <c r="D476" s="321"/>
      <c r="E476" s="321">
        <v>129655809.56999999</v>
      </c>
      <c r="F476" s="321"/>
      <c r="G476" s="321">
        <v>140526056.69999999</v>
      </c>
      <c r="H476" s="321"/>
      <c r="I476" s="321">
        <v>153113491.62</v>
      </c>
      <c r="J476" s="321"/>
      <c r="K476" s="320"/>
    </row>
  </sheetData>
  <mergeCells count="174">
    <mergeCell ref="A474:B474"/>
    <mergeCell ref="A475:B475"/>
    <mergeCell ref="K475:K476"/>
    <mergeCell ref="A476:B476"/>
    <mergeCell ref="C476:D476"/>
    <mergeCell ref="E476:F476"/>
    <mergeCell ref="G476:H476"/>
    <mergeCell ref="I476:J476"/>
    <mergeCell ref="K468:K469"/>
    <mergeCell ref="A465:B465"/>
    <mergeCell ref="A433:B433"/>
    <mergeCell ref="A440:B440"/>
    <mergeCell ref="A442:B442"/>
    <mergeCell ref="A444:B444"/>
    <mergeCell ref="C465:E465"/>
    <mergeCell ref="I465:J465"/>
    <mergeCell ref="A466:H466"/>
    <mergeCell ref="A467:B469"/>
    <mergeCell ref="C467:K467"/>
    <mergeCell ref="C468:D468"/>
    <mergeCell ref="E468:F468"/>
    <mergeCell ref="G468:H468"/>
    <mergeCell ref="I468:J468"/>
    <mergeCell ref="A428:B428"/>
    <mergeCell ref="C428:E428"/>
    <mergeCell ref="I428:J428"/>
    <mergeCell ref="A429:H429"/>
    <mergeCell ref="A430:B432"/>
    <mergeCell ref="C430:K430"/>
    <mergeCell ref="C431:D431"/>
    <mergeCell ref="E431:F431"/>
    <mergeCell ref="G431:H431"/>
    <mergeCell ref="I431:J431"/>
    <mergeCell ref="K431:K432"/>
    <mergeCell ref="A393:B393"/>
    <mergeCell ref="C393:E393"/>
    <mergeCell ref="I393:J393"/>
    <mergeCell ref="A394:H394"/>
    <mergeCell ref="A395:B397"/>
    <mergeCell ref="C395:K395"/>
    <mergeCell ref="C396:D396"/>
    <mergeCell ref="E396:F396"/>
    <mergeCell ref="G396:H396"/>
    <mergeCell ref="I396:J396"/>
    <mergeCell ref="K396:K397"/>
    <mergeCell ref="A358:B358"/>
    <mergeCell ref="C358:E358"/>
    <mergeCell ref="I358:J358"/>
    <mergeCell ref="A359:H359"/>
    <mergeCell ref="A360:B362"/>
    <mergeCell ref="C360:K360"/>
    <mergeCell ref="C361:D361"/>
    <mergeCell ref="E361:F361"/>
    <mergeCell ref="G361:H361"/>
    <mergeCell ref="I361:J361"/>
    <mergeCell ref="K361:K362"/>
    <mergeCell ref="A323:B323"/>
    <mergeCell ref="C323:E323"/>
    <mergeCell ref="I323:J323"/>
    <mergeCell ref="A324:H324"/>
    <mergeCell ref="A325:B327"/>
    <mergeCell ref="C325:K325"/>
    <mergeCell ref="C326:D326"/>
    <mergeCell ref="E326:F326"/>
    <mergeCell ref="G326:H326"/>
    <mergeCell ref="I326:J326"/>
    <mergeCell ref="K326:K327"/>
    <mergeCell ref="A288:B288"/>
    <mergeCell ref="C288:E288"/>
    <mergeCell ref="I288:J288"/>
    <mergeCell ref="A289:H289"/>
    <mergeCell ref="A290:B292"/>
    <mergeCell ref="C290:K290"/>
    <mergeCell ref="C291:D291"/>
    <mergeCell ref="E291:F291"/>
    <mergeCell ref="G291:H291"/>
    <mergeCell ref="I291:J291"/>
    <mergeCell ref="K291:K292"/>
    <mergeCell ref="A253:B253"/>
    <mergeCell ref="C253:E253"/>
    <mergeCell ref="I253:J253"/>
    <mergeCell ref="A254:H254"/>
    <mergeCell ref="A255:B257"/>
    <mergeCell ref="C255:K255"/>
    <mergeCell ref="C256:D256"/>
    <mergeCell ref="E256:F256"/>
    <mergeCell ref="G256:H256"/>
    <mergeCell ref="I256:J256"/>
    <mergeCell ref="K256:K257"/>
    <mergeCell ref="A218:B218"/>
    <mergeCell ref="C218:E218"/>
    <mergeCell ref="I218:J218"/>
    <mergeCell ref="A219:H219"/>
    <mergeCell ref="A220:B222"/>
    <mergeCell ref="C220:K220"/>
    <mergeCell ref="C221:D221"/>
    <mergeCell ref="E221:F221"/>
    <mergeCell ref="G221:H221"/>
    <mergeCell ref="I221:J221"/>
    <mergeCell ref="K221:K222"/>
    <mergeCell ref="A6:K6"/>
    <mergeCell ref="A1:K1"/>
    <mergeCell ref="A2:K2"/>
    <mergeCell ref="A3:K3"/>
    <mergeCell ref="A4:K4"/>
    <mergeCell ref="A5:K5"/>
    <mergeCell ref="A7:K7"/>
    <mergeCell ref="A9:B9"/>
    <mergeCell ref="C9:E9"/>
    <mergeCell ref="I9:J9"/>
    <mergeCell ref="A10:H10"/>
    <mergeCell ref="I12:J12"/>
    <mergeCell ref="K12:K13"/>
    <mergeCell ref="A14:B14"/>
    <mergeCell ref="A43:B43"/>
    <mergeCell ref="C43:E43"/>
    <mergeCell ref="I43:J43"/>
    <mergeCell ref="A11:B13"/>
    <mergeCell ref="C11:K11"/>
    <mergeCell ref="C12:D12"/>
    <mergeCell ref="E12:F12"/>
    <mergeCell ref="G12:H12"/>
    <mergeCell ref="A44:H44"/>
    <mergeCell ref="A45:B47"/>
    <mergeCell ref="C45:K45"/>
    <mergeCell ref="C46:D46"/>
    <mergeCell ref="E46:F46"/>
    <mergeCell ref="G46:H46"/>
    <mergeCell ref="I46:J46"/>
    <mergeCell ref="K46:K47"/>
    <mergeCell ref="A78:B78"/>
    <mergeCell ref="C78:E78"/>
    <mergeCell ref="I78:J78"/>
    <mergeCell ref="A79:H79"/>
    <mergeCell ref="A80:B82"/>
    <mergeCell ref="C80:K80"/>
    <mergeCell ref="C81:D81"/>
    <mergeCell ref="E81:F81"/>
    <mergeCell ref="G81:H81"/>
    <mergeCell ref="I81:J81"/>
    <mergeCell ref="A149:H149"/>
    <mergeCell ref="K81:K82"/>
    <mergeCell ref="A113:B113"/>
    <mergeCell ref="C113:E113"/>
    <mergeCell ref="I113:J113"/>
    <mergeCell ref="A114:H114"/>
    <mergeCell ref="A115:B117"/>
    <mergeCell ref="C115:K115"/>
    <mergeCell ref="C116:D116"/>
    <mergeCell ref="E116:F116"/>
    <mergeCell ref="G116:H116"/>
    <mergeCell ref="I116:J116"/>
    <mergeCell ref="K116:K117"/>
    <mergeCell ref="A148:B148"/>
    <mergeCell ref="C148:E148"/>
    <mergeCell ref="I148:J148"/>
    <mergeCell ref="A184:H184"/>
    <mergeCell ref="A185:B187"/>
    <mergeCell ref="C185:K185"/>
    <mergeCell ref="C186:D186"/>
    <mergeCell ref="E186:F186"/>
    <mergeCell ref="G186:H186"/>
    <mergeCell ref="I186:J186"/>
    <mergeCell ref="K186:K187"/>
    <mergeCell ref="A150:B152"/>
    <mergeCell ref="C150:K150"/>
    <mergeCell ref="C151:D151"/>
    <mergeCell ref="E151:F151"/>
    <mergeCell ref="G151:H151"/>
    <mergeCell ref="I151:J151"/>
    <mergeCell ref="K151:K152"/>
    <mergeCell ref="A183:B183"/>
    <mergeCell ref="C183:E183"/>
    <mergeCell ref="I183:J18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39"/>
  <sheetViews>
    <sheetView workbookViewId="0">
      <selection activeCell="E3" sqref="E3"/>
    </sheetView>
  </sheetViews>
  <sheetFormatPr defaultRowHeight="11.25" x14ac:dyDescent="0.2"/>
  <cols>
    <col min="1" max="1" width="4.140625" style="41" bestFit="1" customWidth="1"/>
    <col min="2" max="2" width="8.28515625" style="41" bestFit="1" customWidth="1"/>
    <col min="3" max="3" width="11.42578125" style="41" bestFit="1" customWidth="1"/>
    <col min="4" max="6" width="11.7109375" style="41" bestFit="1" customWidth="1"/>
    <col min="7" max="7" width="12" style="41" bestFit="1" customWidth="1"/>
    <col min="8" max="9" width="12.5703125" style="41" bestFit="1" customWidth="1"/>
    <col min="10" max="10" width="12.85546875" style="41" bestFit="1" customWidth="1"/>
    <col min="11" max="11" width="12.5703125" style="41" bestFit="1" customWidth="1"/>
    <col min="12" max="12" width="12.85546875" style="41" bestFit="1" customWidth="1"/>
    <col min="13" max="13" width="12.140625" style="41" bestFit="1" customWidth="1"/>
    <col min="14" max="14" width="12" style="41" bestFit="1" customWidth="1"/>
    <col min="15" max="16384" width="9.140625" style="41"/>
  </cols>
  <sheetData>
    <row r="3" spans="1:12" x14ac:dyDescent="0.2">
      <c r="B3" s="112" t="s">
        <v>1084</v>
      </c>
    </row>
    <row r="7" spans="1:12" x14ac:dyDescent="0.2">
      <c r="B7" s="41" t="s">
        <v>637</v>
      </c>
      <c r="C7" s="42" t="s">
        <v>638</v>
      </c>
      <c r="D7" s="42" t="s">
        <v>638</v>
      </c>
      <c r="E7" s="42" t="s">
        <v>638</v>
      </c>
      <c r="F7" s="42" t="s">
        <v>638</v>
      </c>
      <c r="H7" s="42" t="s">
        <v>639</v>
      </c>
      <c r="I7" s="42" t="s">
        <v>639</v>
      </c>
      <c r="J7" s="42" t="s">
        <v>639</v>
      </c>
      <c r="K7" s="42" t="s">
        <v>639</v>
      </c>
      <c r="L7" s="77" t="s">
        <v>640</v>
      </c>
    </row>
    <row r="8" spans="1:12" x14ac:dyDescent="0.2">
      <c r="A8" s="155" t="s">
        <v>618</v>
      </c>
      <c r="B8" s="1" t="s">
        <v>619</v>
      </c>
      <c r="C8" s="158">
        <v>2017</v>
      </c>
      <c r="D8" s="158">
        <v>2018</v>
      </c>
      <c r="E8" s="158">
        <v>2019</v>
      </c>
      <c r="F8" s="158">
        <v>2020</v>
      </c>
      <c r="G8" s="158">
        <v>2021</v>
      </c>
      <c r="H8" s="158">
        <v>2022</v>
      </c>
      <c r="I8" s="158">
        <v>2023</v>
      </c>
      <c r="J8" s="158">
        <v>2024</v>
      </c>
      <c r="K8" s="158">
        <v>2025</v>
      </c>
      <c r="L8" s="163" t="s">
        <v>109</v>
      </c>
    </row>
    <row r="9" spans="1:12" x14ac:dyDescent="0.2">
      <c r="A9" s="155">
        <v>1</v>
      </c>
      <c r="B9" s="11" t="s">
        <v>620</v>
      </c>
      <c r="C9" s="159">
        <v>3101012.41</v>
      </c>
      <c r="D9" s="159">
        <v>3276135.72</v>
      </c>
      <c r="E9" s="159">
        <v>3443947.14</v>
      </c>
      <c r="F9" s="159">
        <v>3546653.15</v>
      </c>
      <c r="G9" s="162">
        <v>4189000</v>
      </c>
      <c r="H9" s="160">
        <f>SUM(C9:F9)/3</f>
        <v>4455916.1400000006</v>
      </c>
      <c r="I9" s="160">
        <f t="shared" ref="I9:K9" si="0">SUM(D9:G9)/3</f>
        <v>4818578.67</v>
      </c>
      <c r="J9" s="160">
        <f t="shared" si="0"/>
        <v>5211838.8099999996</v>
      </c>
      <c r="K9" s="160">
        <f t="shared" si="0"/>
        <v>5670049.3200000003</v>
      </c>
      <c r="L9" s="164">
        <f>SUM(H9:K9)</f>
        <v>20156382.940000001</v>
      </c>
    </row>
    <row r="10" spans="1:12" x14ac:dyDescent="0.2">
      <c r="A10" s="155">
        <v>2</v>
      </c>
      <c r="B10" s="11" t="s">
        <v>621</v>
      </c>
      <c r="C10" s="159">
        <v>1449200.61</v>
      </c>
      <c r="D10" s="159">
        <v>1583265.85</v>
      </c>
      <c r="E10" s="159">
        <v>1653942.34</v>
      </c>
      <c r="F10" s="159">
        <v>1910238.49</v>
      </c>
      <c r="G10" s="162">
        <v>2311581.4500000002</v>
      </c>
      <c r="H10" s="160">
        <f t="shared" ref="H10:H29" si="1">SUM(C10:F10)/3</f>
        <v>2198882.4300000002</v>
      </c>
      <c r="I10" s="160">
        <f t="shared" ref="I10:I29" si="2">SUM(D10:G10)/3</f>
        <v>2486342.7100000004</v>
      </c>
      <c r="J10" s="160">
        <f t="shared" ref="J10:J29" si="3">SUM(E10:H10)/3</f>
        <v>2691548.2366666668</v>
      </c>
      <c r="K10" s="160">
        <f t="shared" ref="K10:K29" si="4">SUM(F10:I10)/3</f>
        <v>2969015.0266666673</v>
      </c>
      <c r="L10" s="164">
        <f t="shared" ref="L10:L25" si="5">SUM(H10:K10)</f>
        <v>10345788.403333334</v>
      </c>
    </row>
    <row r="11" spans="1:12" x14ac:dyDescent="0.2">
      <c r="A11" s="155">
        <v>3</v>
      </c>
      <c r="B11" s="11" t="s">
        <v>622</v>
      </c>
      <c r="C11" s="159">
        <v>855559.78</v>
      </c>
      <c r="D11" s="159">
        <v>976048.92</v>
      </c>
      <c r="E11" s="159">
        <v>957998.56</v>
      </c>
      <c r="F11" s="159">
        <v>910882.76</v>
      </c>
      <c r="G11" s="162">
        <v>1251892.3</v>
      </c>
      <c r="H11" s="160">
        <f t="shared" si="1"/>
        <v>1233496.6733333336</v>
      </c>
      <c r="I11" s="160">
        <f t="shared" si="2"/>
        <v>1365607.5133333334</v>
      </c>
      <c r="J11" s="160">
        <f t="shared" si="3"/>
        <v>1451423.4311111113</v>
      </c>
      <c r="K11" s="160">
        <f t="shared" si="4"/>
        <v>1587293.0822222224</v>
      </c>
      <c r="L11" s="164">
        <f t="shared" si="5"/>
        <v>5637820.7000000011</v>
      </c>
    </row>
    <row r="12" spans="1:12" x14ac:dyDescent="0.2">
      <c r="A12" s="155">
        <v>4</v>
      </c>
      <c r="B12" s="11" t="s">
        <v>623</v>
      </c>
      <c r="C12" s="159">
        <v>1522725.79</v>
      </c>
      <c r="D12" s="159">
        <v>1596819.16</v>
      </c>
      <c r="E12" s="159">
        <v>1699398.36</v>
      </c>
      <c r="F12" s="159">
        <v>1613001.26</v>
      </c>
      <c r="G12" s="162">
        <v>1831204.8</v>
      </c>
      <c r="H12" s="160">
        <f t="shared" si="1"/>
        <v>2143981.5233333334</v>
      </c>
      <c r="I12" s="160">
        <f t="shared" si="2"/>
        <v>2246807.86</v>
      </c>
      <c r="J12" s="160">
        <f t="shared" si="3"/>
        <v>2429195.3144444446</v>
      </c>
      <c r="K12" s="160">
        <f t="shared" si="4"/>
        <v>2611665.1477777776</v>
      </c>
      <c r="L12" s="164">
        <f t="shared" si="5"/>
        <v>9431649.8455555551</v>
      </c>
    </row>
    <row r="13" spans="1:12" x14ac:dyDescent="0.2">
      <c r="A13" s="155">
        <v>5</v>
      </c>
      <c r="B13" s="11" t="s">
        <v>624</v>
      </c>
      <c r="C13" s="159">
        <v>3801617.05</v>
      </c>
      <c r="D13" s="159">
        <v>3582479.1</v>
      </c>
      <c r="E13" s="159">
        <v>3303878.91</v>
      </c>
      <c r="F13" s="159">
        <v>4390738.78</v>
      </c>
      <c r="G13" s="162">
        <f>8078865.63</f>
        <v>8078865.6299999999</v>
      </c>
      <c r="H13" s="160">
        <f t="shared" si="1"/>
        <v>5026237.9466666663</v>
      </c>
      <c r="I13" s="160">
        <f t="shared" si="2"/>
        <v>6451987.4733333327</v>
      </c>
      <c r="J13" s="160">
        <f t="shared" si="3"/>
        <v>6933240.4222222222</v>
      </c>
      <c r="K13" s="160">
        <f t="shared" si="4"/>
        <v>7982609.9433333324</v>
      </c>
      <c r="L13" s="164">
        <f t="shared" si="5"/>
        <v>26394075.785555553</v>
      </c>
    </row>
    <row r="14" spans="1:12" x14ac:dyDescent="0.2">
      <c r="A14" s="155">
        <v>6</v>
      </c>
      <c r="B14" s="11" t="s">
        <v>625</v>
      </c>
      <c r="C14" s="159">
        <v>2843403.96</v>
      </c>
      <c r="D14" s="159">
        <v>3065856.63</v>
      </c>
      <c r="E14" s="159">
        <v>3475308.64</v>
      </c>
      <c r="F14" s="159">
        <v>3259720.12</v>
      </c>
      <c r="G14" s="162">
        <f>3547551.94</f>
        <v>3547551.94</v>
      </c>
      <c r="H14" s="160">
        <f t="shared" si="1"/>
        <v>4214763.1166666672</v>
      </c>
      <c r="I14" s="160">
        <f t="shared" si="2"/>
        <v>4449479.1100000003</v>
      </c>
      <c r="J14" s="160">
        <f t="shared" si="3"/>
        <v>4832447.9388888888</v>
      </c>
      <c r="K14" s="160">
        <f t="shared" si="4"/>
        <v>5157171.42888889</v>
      </c>
      <c r="L14" s="164">
        <f t="shared" si="5"/>
        <v>18653861.594444446</v>
      </c>
    </row>
    <row r="15" spans="1:12" x14ac:dyDescent="0.2">
      <c r="A15" s="155">
        <v>7</v>
      </c>
      <c r="B15" s="11" t="s">
        <v>626</v>
      </c>
      <c r="C15" s="159">
        <v>805994.87</v>
      </c>
      <c r="D15" s="159">
        <v>764862.41</v>
      </c>
      <c r="E15" s="159">
        <v>817917.1</v>
      </c>
      <c r="F15" s="159">
        <v>1105568.56</v>
      </c>
      <c r="G15" s="162">
        <v>1242536.08</v>
      </c>
      <c r="H15" s="160">
        <f t="shared" si="1"/>
        <v>1164780.98</v>
      </c>
      <c r="I15" s="160">
        <f t="shared" si="2"/>
        <v>1310294.7166666668</v>
      </c>
      <c r="J15" s="160">
        <f t="shared" si="3"/>
        <v>1443600.906666667</v>
      </c>
      <c r="K15" s="160">
        <f t="shared" si="4"/>
        <v>1607726.7788888889</v>
      </c>
      <c r="L15" s="164">
        <f t="shared" si="5"/>
        <v>5526403.3822222222</v>
      </c>
    </row>
    <row r="16" spans="1:12" x14ac:dyDescent="0.2">
      <c r="A16" s="155">
        <v>8</v>
      </c>
      <c r="B16" s="11" t="s">
        <v>627</v>
      </c>
      <c r="C16" s="159">
        <v>9375471.2899999991</v>
      </c>
      <c r="D16" s="159">
        <v>10350675.73</v>
      </c>
      <c r="E16" s="159">
        <v>11567237.58</v>
      </c>
      <c r="F16" s="159">
        <v>13776717.07</v>
      </c>
      <c r="G16" s="162">
        <v>12480329.25</v>
      </c>
      <c r="H16" s="160">
        <f t="shared" si="1"/>
        <v>15023367.223333335</v>
      </c>
      <c r="I16" s="160">
        <f t="shared" si="2"/>
        <v>16058319.876666667</v>
      </c>
      <c r="J16" s="160">
        <f t="shared" si="3"/>
        <v>17615883.70777778</v>
      </c>
      <c r="K16" s="160">
        <f t="shared" si="4"/>
        <v>19112911.140000001</v>
      </c>
      <c r="L16" s="164">
        <f t="shared" si="5"/>
        <v>67810481.947777778</v>
      </c>
    </row>
    <row r="17" spans="1:12" x14ac:dyDescent="0.2">
      <c r="A17" s="155">
        <v>9</v>
      </c>
      <c r="B17" s="11" t="s">
        <v>628</v>
      </c>
      <c r="C17" s="159">
        <v>28830293.66</v>
      </c>
      <c r="D17" s="159">
        <v>31447633.789999999</v>
      </c>
      <c r="E17" s="159">
        <v>35828655.899999999</v>
      </c>
      <c r="F17" s="159">
        <v>33451012.960000001</v>
      </c>
      <c r="G17" s="162">
        <f>41453145.27</f>
        <v>41453145.270000003</v>
      </c>
      <c r="H17" s="160">
        <f t="shared" si="1"/>
        <v>43185865.436666667</v>
      </c>
      <c r="I17" s="160">
        <f t="shared" si="2"/>
        <v>47393482.640000008</v>
      </c>
      <c r="J17" s="160">
        <f t="shared" si="3"/>
        <v>51306226.522222221</v>
      </c>
      <c r="K17" s="160">
        <f t="shared" si="4"/>
        <v>55161168.768888891</v>
      </c>
      <c r="L17" s="164">
        <f t="shared" si="5"/>
        <v>197046743.36777779</v>
      </c>
    </row>
    <row r="18" spans="1:12" x14ac:dyDescent="0.2">
      <c r="A18" s="155">
        <v>10</v>
      </c>
      <c r="B18" s="11" t="s">
        <v>629</v>
      </c>
      <c r="C18" s="159">
        <v>19245258.09</v>
      </c>
      <c r="D18" s="159">
        <v>21844971.920000002</v>
      </c>
      <c r="E18" s="159">
        <v>22342207.210000001</v>
      </c>
      <c r="F18" s="159">
        <v>26424213.309999999</v>
      </c>
      <c r="G18" s="162">
        <f>28782634.22</f>
        <v>28782634.219999999</v>
      </c>
      <c r="H18" s="160">
        <f t="shared" si="1"/>
        <v>29952216.843333334</v>
      </c>
      <c r="I18" s="160">
        <f t="shared" si="2"/>
        <v>33131342.219999999</v>
      </c>
      <c r="J18" s="160">
        <f t="shared" si="3"/>
        <v>35833757.19444444</v>
      </c>
      <c r="K18" s="160">
        <f t="shared" si="4"/>
        <v>39430135.531111114</v>
      </c>
      <c r="L18" s="164">
        <f t="shared" si="5"/>
        <v>138347451.7888889</v>
      </c>
    </row>
    <row r="19" spans="1:12" x14ac:dyDescent="0.2">
      <c r="A19" s="155">
        <v>11</v>
      </c>
      <c r="B19" s="11" t="s">
        <v>630</v>
      </c>
      <c r="C19" s="159">
        <v>2992042.46</v>
      </c>
      <c r="D19" s="159">
        <v>3046694.1</v>
      </c>
      <c r="E19" s="159">
        <v>3159582.57</v>
      </c>
      <c r="F19" s="159">
        <v>3991076.67</v>
      </c>
      <c r="G19" s="162">
        <f>4408224.53</f>
        <v>4408224.53</v>
      </c>
      <c r="H19" s="160">
        <f t="shared" si="1"/>
        <v>4396465.2666666666</v>
      </c>
      <c r="I19" s="160">
        <f t="shared" si="2"/>
        <v>4868525.956666667</v>
      </c>
      <c r="J19" s="160">
        <f t="shared" si="3"/>
        <v>5318449.6788888881</v>
      </c>
      <c r="K19" s="160">
        <f t="shared" si="4"/>
        <v>5888097.4744444443</v>
      </c>
      <c r="L19" s="164">
        <f t="shared" si="5"/>
        <v>20471538.376666665</v>
      </c>
    </row>
    <row r="20" spans="1:12" x14ac:dyDescent="0.2">
      <c r="A20" s="155">
        <v>12</v>
      </c>
      <c r="B20" s="11" t="s">
        <v>631</v>
      </c>
      <c r="C20" s="159">
        <v>1299654.8700000001</v>
      </c>
      <c r="D20" s="159">
        <v>1494822.84</v>
      </c>
      <c r="E20" s="159">
        <v>1794067.33</v>
      </c>
      <c r="F20" s="159">
        <v>1385094.95</v>
      </c>
      <c r="G20" s="162">
        <f>1953905.75</f>
        <v>1953905.75</v>
      </c>
      <c r="H20" s="160">
        <f t="shared" si="1"/>
        <v>1991213.33</v>
      </c>
      <c r="I20" s="160">
        <f t="shared" si="2"/>
        <v>2209296.9566666665</v>
      </c>
      <c r="J20" s="160">
        <f t="shared" si="3"/>
        <v>2374760.4533333336</v>
      </c>
      <c r="K20" s="160">
        <f t="shared" si="4"/>
        <v>2513170.3288888889</v>
      </c>
      <c r="L20" s="164">
        <f t="shared" si="5"/>
        <v>9088441.0688888896</v>
      </c>
    </row>
    <row r="21" spans="1:12" x14ac:dyDescent="0.2">
      <c r="A21" s="155">
        <v>13</v>
      </c>
      <c r="B21" s="11" t="s">
        <v>632</v>
      </c>
      <c r="C21" s="159">
        <v>1607213.55</v>
      </c>
      <c r="D21" s="159">
        <v>1740352.95</v>
      </c>
      <c r="E21" s="159">
        <v>1849363.14</v>
      </c>
      <c r="F21" s="159">
        <v>1985591.15</v>
      </c>
      <c r="G21" s="162">
        <f>3021924.34</f>
        <v>3021924.34</v>
      </c>
      <c r="H21" s="160">
        <f t="shared" si="1"/>
        <v>2394173.5966666662</v>
      </c>
      <c r="I21" s="160">
        <f t="shared" si="2"/>
        <v>2865743.86</v>
      </c>
      <c r="J21" s="160">
        <f t="shared" si="3"/>
        <v>3083684.0755555555</v>
      </c>
      <c r="K21" s="160">
        <f t="shared" si="4"/>
        <v>3422477.6488888883</v>
      </c>
      <c r="L21" s="164">
        <f t="shared" si="5"/>
        <v>11766079.18111111</v>
      </c>
    </row>
    <row r="22" spans="1:12" x14ac:dyDescent="0.2">
      <c r="A22" s="155">
        <v>14</v>
      </c>
      <c r="B22" s="11" t="s">
        <v>633</v>
      </c>
      <c r="C22" s="90"/>
      <c r="D22" s="90"/>
      <c r="E22" s="90"/>
      <c r="F22" s="90"/>
      <c r="G22" s="162">
        <f>8983.18</f>
        <v>8983.18</v>
      </c>
      <c r="H22" s="161">
        <f>'Tabela 01'!I153-SUM(H9:H21)</f>
        <v>-4.322245717048645E-3</v>
      </c>
      <c r="I22" s="161">
        <f>'Tabela 01'!J153-SUM(I9:I21)</f>
        <v>3.6620646715164185E-3</v>
      </c>
      <c r="J22" s="161">
        <f>'Tabela 01'!K153-SUM(J9:J21)</f>
        <v>3.6220550537109375E-3</v>
      </c>
      <c r="K22" s="161">
        <f>'Tabela 01'!L153-SUM(K9:K21)</f>
        <v>1.371532678604126E-3</v>
      </c>
      <c r="L22" s="164">
        <f t="shared" si="5"/>
        <v>4.3334066867828369E-3</v>
      </c>
    </row>
    <row r="23" spans="1:12" s="165" customFormat="1" x14ac:dyDescent="0.2">
      <c r="A23" s="1"/>
      <c r="B23" s="11" t="s">
        <v>641</v>
      </c>
      <c r="C23" s="166">
        <f>SUM(C9:C21)+C22</f>
        <v>77729448.390000001</v>
      </c>
      <c r="D23" s="166">
        <f t="shared" ref="D23:L23" si="6">SUM(D9:D21)+D22</f>
        <v>84770619.120000005</v>
      </c>
      <c r="E23" s="166">
        <f t="shared" si="6"/>
        <v>91893504.780000001</v>
      </c>
      <c r="F23" s="166">
        <f t="shared" si="6"/>
        <v>97750509.230000004</v>
      </c>
      <c r="G23" s="166">
        <f t="shared" si="6"/>
        <v>114561778.74000001</v>
      </c>
      <c r="H23" s="166">
        <f>SUM(H9:H22)</f>
        <v>117381360.50234441</v>
      </c>
      <c r="I23" s="166">
        <f t="shared" ref="I23:K23" si="7">SUM(I9:I22)</f>
        <v>129655809.5669954</v>
      </c>
      <c r="J23" s="166">
        <f t="shared" si="7"/>
        <v>140526056.69584429</v>
      </c>
      <c r="K23" s="166">
        <f t="shared" si="7"/>
        <v>153113491.62137154</v>
      </c>
      <c r="L23" s="166">
        <f t="shared" si="6"/>
        <v>540676718.38655567</v>
      </c>
    </row>
    <row r="24" spans="1:12" x14ac:dyDescent="0.2">
      <c r="H24" s="156"/>
      <c r="I24" s="156"/>
      <c r="J24" s="156"/>
      <c r="K24" s="156"/>
    </row>
    <row r="25" spans="1:12" x14ac:dyDescent="0.2">
      <c r="A25" s="155">
        <v>15</v>
      </c>
      <c r="B25" s="11" t="s">
        <v>634</v>
      </c>
      <c r="C25" s="159">
        <v>15166051.560000001</v>
      </c>
      <c r="D25" s="159">
        <v>16633247.029999999</v>
      </c>
      <c r="E25" s="159">
        <v>18994467.100000001</v>
      </c>
      <c r="F25" s="159">
        <v>22185927.280000001</v>
      </c>
      <c r="G25" s="162">
        <f>25810700.56</f>
        <v>25810700.559999999</v>
      </c>
      <c r="H25" s="160">
        <f t="shared" si="1"/>
        <v>24326564.323333334</v>
      </c>
      <c r="I25" s="160">
        <f t="shared" si="2"/>
        <v>27874780.656666666</v>
      </c>
      <c r="J25" s="160">
        <f t="shared" si="3"/>
        <v>30439219.754444446</v>
      </c>
      <c r="K25" s="160">
        <f t="shared" si="4"/>
        <v>33399324.273333337</v>
      </c>
      <c r="L25" s="164">
        <f t="shared" si="5"/>
        <v>116039889.0077778</v>
      </c>
    </row>
    <row r="26" spans="1:12" x14ac:dyDescent="0.2">
      <c r="A26" s="155"/>
      <c r="B26" s="11" t="s">
        <v>633</v>
      </c>
      <c r="C26" s="159"/>
      <c r="D26" s="159"/>
      <c r="E26" s="159"/>
      <c r="F26" s="159"/>
      <c r="G26" s="162"/>
      <c r="H26" s="160">
        <f>'Tabela 08'!I27-H25</f>
        <v>17225469.150234599</v>
      </c>
      <c r="I26" s="160">
        <f>'Tabela 08'!J27-I25</f>
        <v>16104246.921972603</v>
      </c>
      <c r="J26" s="160">
        <f>'Tabela 08'!K27-J25</f>
        <v>18186679.771879416</v>
      </c>
      <c r="K26" s="160">
        <f>'Tabela 08'!L27-K25</f>
        <v>15473514.900011111</v>
      </c>
      <c r="L26" s="164">
        <f>SUM(H26:K26)</f>
        <v>66989910.744097725</v>
      </c>
    </row>
    <row r="27" spans="1:12" s="165" customFormat="1" x14ac:dyDescent="0.2">
      <c r="A27" s="1"/>
      <c r="B27" s="11" t="s">
        <v>642</v>
      </c>
      <c r="C27" s="161">
        <f t="shared" ref="C27:G27" si="8">SUM(C25:C26)</f>
        <v>15166051.560000001</v>
      </c>
      <c r="D27" s="161">
        <f t="shared" si="8"/>
        <v>16633247.029999999</v>
      </c>
      <c r="E27" s="161">
        <f t="shared" si="8"/>
        <v>18994467.100000001</v>
      </c>
      <c r="F27" s="161">
        <f t="shared" si="8"/>
        <v>22185927.280000001</v>
      </c>
      <c r="G27" s="161">
        <f t="shared" si="8"/>
        <v>25810700.559999999</v>
      </c>
      <c r="H27" s="161">
        <f>SUM(H25:H26)</f>
        <v>41552033.473567933</v>
      </c>
      <c r="I27" s="161">
        <f t="shared" ref="I27:L27" si="9">SUM(I25:I26)</f>
        <v>43979027.578639269</v>
      </c>
      <c r="J27" s="161">
        <f t="shared" si="9"/>
        <v>48625899.526323862</v>
      </c>
      <c r="K27" s="161">
        <f t="shared" si="9"/>
        <v>48872839.173344448</v>
      </c>
      <c r="L27" s="161">
        <f t="shared" si="9"/>
        <v>183029799.75187552</v>
      </c>
    </row>
    <row r="29" spans="1:12" x14ac:dyDescent="0.2">
      <c r="A29" s="155">
        <v>16</v>
      </c>
      <c r="B29" s="11" t="s">
        <v>572</v>
      </c>
      <c r="C29" s="159">
        <v>3499494.64</v>
      </c>
      <c r="D29" s="159">
        <v>3961190.82</v>
      </c>
      <c r="E29" s="159">
        <v>4610507.74</v>
      </c>
      <c r="F29" s="159">
        <v>3666227.86</v>
      </c>
      <c r="G29" s="162">
        <f>4416737.33</f>
        <v>4416737.33</v>
      </c>
      <c r="H29" s="160">
        <f t="shared" si="1"/>
        <v>5245807.0199999996</v>
      </c>
      <c r="I29" s="160">
        <f t="shared" si="2"/>
        <v>5551554.583333333</v>
      </c>
      <c r="J29" s="160">
        <f t="shared" si="3"/>
        <v>5979759.9833333334</v>
      </c>
      <c r="K29" s="160">
        <f t="shared" si="4"/>
        <v>6293442.2644444443</v>
      </c>
      <c r="L29" s="164">
        <f>SUM(H29:K29)</f>
        <v>23070563.85111111</v>
      </c>
    </row>
    <row r="30" spans="1:12" x14ac:dyDescent="0.2">
      <c r="A30" s="155"/>
      <c r="B30" s="11" t="s">
        <v>633</v>
      </c>
      <c r="C30" s="160"/>
      <c r="D30" s="160"/>
      <c r="E30" s="160"/>
      <c r="F30" s="160"/>
      <c r="G30" s="160"/>
      <c r="H30" s="160">
        <f>'Tabela 08'!I52-H29</f>
        <v>-902203.56306631584</v>
      </c>
      <c r="I30" s="160">
        <f>'Tabela 08'!J52-I29</f>
        <v>-1287299.4524881253</v>
      </c>
      <c r="J30" s="160">
        <f>'Tabela 08'!K52-J29</f>
        <v>-1802470.5003038077</v>
      </c>
      <c r="K30" s="160">
        <f>'Tabela 08'!L52-K29</f>
        <v>-2039680.0428801952</v>
      </c>
      <c r="L30" s="164">
        <f>SUM(H30:K30)</f>
        <v>-6031653.558738444</v>
      </c>
    </row>
    <row r="31" spans="1:12" s="165" customFormat="1" x14ac:dyDescent="0.2">
      <c r="A31" s="1"/>
      <c r="B31" s="11" t="s">
        <v>643</v>
      </c>
      <c r="C31" s="166">
        <f>SUM(C29:C30)</f>
        <v>3499494.64</v>
      </c>
      <c r="D31" s="166">
        <f t="shared" ref="D31:K31" si="10">SUM(D29:D30)</f>
        <v>3961190.82</v>
      </c>
      <c r="E31" s="166">
        <f t="shared" si="10"/>
        <v>4610507.74</v>
      </c>
      <c r="F31" s="166">
        <f t="shared" si="10"/>
        <v>3666227.86</v>
      </c>
      <c r="G31" s="166">
        <f t="shared" si="10"/>
        <v>4416737.33</v>
      </c>
      <c r="H31" s="166">
        <f>SUM(H29:H30)</f>
        <v>4343603.4569336837</v>
      </c>
      <c r="I31" s="166">
        <f t="shared" si="10"/>
        <v>4264255.1308452077</v>
      </c>
      <c r="J31" s="166">
        <f t="shared" si="10"/>
        <v>4177289.4830295257</v>
      </c>
      <c r="K31" s="166">
        <f t="shared" si="10"/>
        <v>4253762.2215642491</v>
      </c>
      <c r="L31" s="166">
        <f>SUM(L29:L30)</f>
        <v>17038910.292372666</v>
      </c>
    </row>
    <row r="33" spans="1:12" x14ac:dyDescent="0.2">
      <c r="A33" s="157" t="s">
        <v>635</v>
      </c>
      <c r="B33" s="11" t="s">
        <v>636</v>
      </c>
      <c r="C33" s="166">
        <f>C23+C27+C31</f>
        <v>96394994.590000004</v>
      </c>
      <c r="D33" s="166">
        <f t="shared" ref="D33:J33" si="11">D23+D27+D31</f>
        <v>105365056.97</v>
      </c>
      <c r="E33" s="166">
        <f t="shared" si="11"/>
        <v>115498479.61999999</v>
      </c>
      <c r="F33" s="166">
        <f t="shared" si="11"/>
        <v>123602664.37</v>
      </c>
      <c r="G33" s="166">
        <f t="shared" si="11"/>
        <v>144789216.63000003</v>
      </c>
      <c r="H33" s="166">
        <f t="shared" si="11"/>
        <v>163276997.43284601</v>
      </c>
      <c r="I33" s="166">
        <f t="shared" si="11"/>
        <v>177899092.27647987</v>
      </c>
      <c r="J33" s="166">
        <f t="shared" si="11"/>
        <v>193329245.70519766</v>
      </c>
      <c r="K33" s="166">
        <f>K23+K27+K31</f>
        <v>206240093.01628026</v>
      </c>
      <c r="L33" s="166">
        <f>L23+L27+L31</f>
        <v>740745428.43080389</v>
      </c>
    </row>
    <row r="34" spans="1:12" x14ac:dyDescent="0.2">
      <c r="C34" s="177">
        <f>96394994.59-C33</f>
        <v>0</v>
      </c>
      <c r="D34" s="177">
        <f>105365056.97-D33</f>
        <v>0</v>
      </c>
      <c r="E34" s="177">
        <f>115498479.62-E33</f>
        <v>0</v>
      </c>
      <c r="F34" s="177">
        <f>123602664.37-F33</f>
        <v>0</v>
      </c>
      <c r="H34" s="147">
        <f>'Tabela 01'!I153+'Tabela 08'!I27+'Tabela 08'!I52-H33</f>
        <v>0</v>
      </c>
      <c r="I34" s="147">
        <f>'Tabela 01'!J153+'Tabela 08'!J27+'Tabela 08'!J52-I33</f>
        <v>0</v>
      </c>
      <c r="J34" s="147">
        <f>'Tabela 01'!K153+'Tabela 08'!K27+'Tabela 08'!K52-J33</f>
        <v>0</v>
      </c>
      <c r="K34" s="147">
        <f>'Tabela 01'!L153+'Tabela 08'!L27+'Tabela 08'!L52-K33</f>
        <v>0</v>
      </c>
    </row>
    <row r="35" spans="1:12" x14ac:dyDescent="0.2">
      <c r="G35" s="193" t="s">
        <v>1073</v>
      </c>
      <c r="H35" s="194">
        <v>2022</v>
      </c>
      <c r="I35" s="194">
        <v>2023</v>
      </c>
      <c r="J35" s="194">
        <v>2024</v>
      </c>
      <c r="K35" s="194">
        <v>2025</v>
      </c>
      <c r="L35" s="90" t="s">
        <v>1083</v>
      </c>
    </row>
    <row r="36" spans="1:12" x14ac:dyDescent="0.2">
      <c r="G36" s="193" t="s">
        <v>1081</v>
      </c>
      <c r="H36" s="176">
        <v>117381360.5</v>
      </c>
      <c r="I36" s="176">
        <v>129655809.56999999</v>
      </c>
      <c r="J36" s="176">
        <v>140526056.69999999</v>
      </c>
      <c r="K36" s="176">
        <v>153113491.62</v>
      </c>
      <c r="L36" s="164">
        <f>SUM(H36:K36)</f>
        <v>540676718.38999999</v>
      </c>
    </row>
    <row r="37" spans="1:12" x14ac:dyDescent="0.2">
      <c r="G37" s="193" t="s">
        <v>1082</v>
      </c>
      <c r="H37" s="195">
        <f t="shared" ref="H37:K37" si="12">H27+H31</f>
        <v>45895636.930501617</v>
      </c>
      <c r="I37" s="164">
        <f t="shared" si="12"/>
        <v>48243282.709484473</v>
      </c>
      <c r="J37" s="164">
        <f t="shared" si="12"/>
        <v>52803189.009353384</v>
      </c>
      <c r="K37" s="164">
        <f t="shared" si="12"/>
        <v>53126601.394908696</v>
      </c>
      <c r="L37" s="164">
        <f>L27+L31</f>
        <v>200068710.04424819</v>
      </c>
    </row>
    <row r="38" spans="1:12" x14ac:dyDescent="0.2">
      <c r="H38" s="192">
        <f>41552033.47-H27</f>
        <v>-3.5679340362548828E-3</v>
      </c>
      <c r="I38" s="192"/>
      <c r="J38" s="192"/>
      <c r="K38" s="192"/>
    </row>
    <row r="39" spans="1:12" x14ac:dyDescent="0.2">
      <c r="H39" s="192">
        <f>4343603.46-H31</f>
        <v>3.0663162469863892E-3</v>
      </c>
      <c r="I39" s="192"/>
      <c r="J39" s="192"/>
      <c r="K39" s="192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8"/>
  <sheetViews>
    <sheetView topLeftCell="A7" workbookViewId="0">
      <selection activeCell="E22" sqref="E22"/>
    </sheetView>
  </sheetViews>
  <sheetFormatPr defaultRowHeight="15" x14ac:dyDescent="0.25"/>
  <cols>
    <col min="1" max="1" width="15.7109375" bestFit="1" customWidth="1"/>
    <col min="2" max="2" width="41.42578125" bestFit="1" customWidth="1"/>
    <col min="3" max="6" width="15" bestFit="1" customWidth="1"/>
    <col min="7" max="7" width="15.7109375" bestFit="1" customWidth="1"/>
    <col min="9" max="9" width="12.85546875" bestFit="1" customWidth="1"/>
    <col min="11" max="11" width="14" bestFit="1" customWidth="1"/>
  </cols>
  <sheetData>
    <row r="1" spans="1:11" s="205" customFormat="1" ht="12.75" x14ac:dyDescent="0.2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205" customFormat="1" ht="12.75" x14ac:dyDescent="0.2">
      <c r="A2" s="204" t="s">
        <v>187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205" customFormat="1" ht="12.75" x14ac:dyDescent="0.2">
      <c r="A3" s="206" t="s">
        <v>1120</v>
      </c>
      <c r="B3" s="206"/>
      <c r="D3" s="206"/>
      <c r="E3" s="206"/>
      <c r="F3" s="206"/>
      <c r="G3" s="206"/>
      <c r="H3" s="206"/>
      <c r="I3" s="206"/>
      <c r="J3" s="206"/>
      <c r="K3" s="206"/>
    </row>
    <row r="4" spans="1:11" s="205" customFormat="1" ht="12.75" x14ac:dyDescent="0.2">
      <c r="A4" s="206" t="s">
        <v>189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205" customFormat="1" ht="12.75" x14ac:dyDescent="0.2">
      <c r="A5" s="204" t="s">
        <v>190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s="77" customFormat="1" ht="8.25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75" x14ac:dyDescent="0.25">
      <c r="A7" s="207" t="s">
        <v>191</v>
      </c>
      <c r="B7" s="207"/>
      <c r="C7" s="208" t="s">
        <v>195</v>
      </c>
      <c r="D7" s="208"/>
      <c r="E7" s="207"/>
      <c r="F7" s="207"/>
      <c r="G7" s="207"/>
      <c r="H7" s="209"/>
      <c r="I7" s="209"/>
      <c r="J7" s="209"/>
      <c r="K7" s="207"/>
    </row>
    <row r="8" spans="1:11" s="41" customFormat="1" ht="11.25" x14ac:dyDescent="0.2">
      <c r="H8" s="209"/>
      <c r="I8" s="209"/>
      <c r="J8" s="209"/>
    </row>
    <row r="9" spans="1:11" x14ac:dyDescent="0.25">
      <c r="A9" s="210" t="s">
        <v>192</v>
      </c>
      <c r="B9" s="210"/>
      <c r="C9" s="290" t="s">
        <v>193</v>
      </c>
      <c r="D9" s="290"/>
      <c r="E9" s="290"/>
      <c r="G9" s="191" t="s">
        <v>194</v>
      </c>
      <c r="H9" s="209"/>
      <c r="I9" s="209"/>
      <c r="J9" s="209"/>
    </row>
    <row r="10" spans="1:11" x14ac:dyDescent="0.25">
      <c r="A10" s="206" t="s">
        <v>676</v>
      </c>
      <c r="B10" s="206"/>
      <c r="C10" s="206"/>
      <c r="D10" s="206"/>
      <c r="E10" s="206"/>
      <c r="F10" s="206"/>
      <c r="G10" s="206"/>
      <c r="H10" s="209"/>
      <c r="I10" s="209"/>
      <c r="J10" s="209"/>
    </row>
    <row r="11" spans="1:11" ht="15.75" x14ac:dyDescent="0.25">
      <c r="A11" s="43" t="s">
        <v>1121</v>
      </c>
      <c r="C11" s="196">
        <v>2022</v>
      </c>
      <c r="D11" s="196">
        <v>2023</v>
      </c>
      <c r="E11" s="196">
        <v>2024</v>
      </c>
      <c r="F11" s="196">
        <v>2025</v>
      </c>
      <c r="G11" s="211" t="s">
        <v>1085</v>
      </c>
      <c r="H11" s="209"/>
      <c r="I11" s="209"/>
      <c r="J11" s="209"/>
    </row>
    <row r="12" spans="1:11" x14ac:dyDescent="0.25">
      <c r="A12" s="186" t="s">
        <v>1122</v>
      </c>
      <c r="B12" s="187" t="s">
        <v>201</v>
      </c>
      <c r="C12" s="188">
        <v>145978293.25999999</v>
      </c>
      <c r="D12" s="188">
        <v>157808637.93000001</v>
      </c>
      <c r="E12" s="188">
        <v>171250741.31</v>
      </c>
      <c r="F12" s="188">
        <v>185819296.97</v>
      </c>
      <c r="G12" s="188">
        <v>660856969.47000003</v>
      </c>
    </row>
    <row r="14" spans="1:11" s="165" customFormat="1" ht="11.25" x14ac:dyDescent="0.2">
      <c r="B14" s="165" t="s">
        <v>420</v>
      </c>
      <c r="C14" s="212">
        <f>SUM(C15:C29)</f>
        <v>28382465.760000002</v>
      </c>
      <c r="D14" s="212">
        <f>SUM(D15:D29)</f>
        <v>27936430.459999997</v>
      </c>
      <c r="E14" s="212">
        <f>SUM(E15:E29)</f>
        <v>30605175.360000003</v>
      </c>
      <c r="F14" s="212">
        <f>SUM(F15:F29)</f>
        <v>32548147.149999999</v>
      </c>
      <c r="G14" s="212">
        <f>SUM(G15:G29)</f>
        <v>119472218.73</v>
      </c>
    </row>
    <row r="15" spans="1:11" s="41" customFormat="1" ht="11.25" x14ac:dyDescent="0.2">
      <c r="A15" s="213" t="s">
        <v>1123</v>
      </c>
      <c r="B15" s="214" t="s">
        <v>728</v>
      </c>
      <c r="C15" s="215">
        <v>3989813.88</v>
      </c>
      <c r="D15" s="215">
        <v>3982551.44</v>
      </c>
      <c r="E15" s="215">
        <v>3982551.44</v>
      </c>
      <c r="F15" s="215">
        <v>4021405.6</v>
      </c>
      <c r="G15" s="215">
        <v>15976322.359999999</v>
      </c>
    </row>
    <row r="16" spans="1:11" s="41" customFormat="1" ht="11.25" x14ac:dyDescent="0.2">
      <c r="A16" s="213" t="s">
        <v>1124</v>
      </c>
      <c r="B16" s="214" t="s">
        <v>729</v>
      </c>
      <c r="C16" s="215">
        <v>1218037.33</v>
      </c>
      <c r="D16" s="215">
        <v>1215820.21</v>
      </c>
      <c r="E16" s="215">
        <v>1215820.21</v>
      </c>
      <c r="F16" s="215">
        <v>1227681.8700000001</v>
      </c>
      <c r="G16" s="215">
        <v>4877359.62</v>
      </c>
    </row>
    <row r="17" spans="1:7" s="41" customFormat="1" ht="11.25" x14ac:dyDescent="0.2">
      <c r="A17" s="213" t="s">
        <v>1125</v>
      </c>
      <c r="B17" s="214" t="s">
        <v>730</v>
      </c>
      <c r="C17" s="215">
        <v>74413.72</v>
      </c>
      <c r="D17" s="215">
        <v>74278.27</v>
      </c>
      <c r="E17" s="215">
        <v>74278.27</v>
      </c>
      <c r="F17" s="215">
        <v>75002.929999999993</v>
      </c>
      <c r="G17" s="215">
        <v>297973.19</v>
      </c>
    </row>
    <row r="18" spans="1:7" s="41" customFormat="1" ht="11.25" x14ac:dyDescent="0.2">
      <c r="A18" s="213" t="s">
        <v>1126</v>
      </c>
      <c r="B18" s="214" t="s">
        <v>731</v>
      </c>
      <c r="C18" s="215">
        <v>15641.64</v>
      </c>
      <c r="D18" s="215">
        <v>13378.99</v>
      </c>
      <c r="E18" s="215">
        <v>17324.46</v>
      </c>
      <c r="F18" s="215">
        <v>16992.32</v>
      </c>
      <c r="G18" s="215">
        <v>63337.41</v>
      </c>
    </row>
    <row r="19" spans="1:7" s="41" customFormat="1" ht="11.25" x14ac:dyDescent="0.2">
      <c r="A19" s="213" t="s">
        <v>604</v>
      </c>
      <c r="B19" s="214" t="s">
        <v>612</v>
      </c>
      <c r="C19" s="215">
        <v>1000276.62</v>
      </c>
      <c r="D19" s="215">
        <v>998455.87</v>
      </c>
      <c r="E19" s="215">
        <v>998455.87</v>
      </c>
      <c r="F19" s="215">
        <v>1008196.9</v>
      </c>
      <c r="G19" s="215">
        <v>4005385.26</v>
      </c>
    </row>
    <row r="20" spans="1:7" s="41" customFormat="1" ht="11.25" x14ac:dyDescent="0.2">
      <c r="A20" s="213" t="s">
        <v>605</v>
      </c>
      <c r="B20" s="214" t="s">
        <v>613</v>
      </c>
      <c r="C20" s="215">
        <v>676141.81</v>
      </c>
      <c r="D20" s="215">
        <v>674911.07</v>
      </c>
      <c r="E20" s="215">
        <v>674911.07</v>
      </c>
      <c r="F20" s="215">
        <v>681495.57</v>
      </c>
      <c r="G20" s="215">
        <v>2707459.52</v>
      </c>
    </row>
    <row r="21" spans="1:7" s="41" customFormat="1" ht="11.25" x14ac:dyDescent="0.2">
      <c r="A21" s="213" t="s">
        <v>606</v>
      </c>
      <c r="B21" s="214" t="s">
        <v>614</v>
      </c>
      <c r="C21" s="215">
        <v>147246.10999999999</v>
      </c>
      <c r="D21" s="215">
        <v>75536.179999999993</v>
      </c>
      <c r="E21" s="215">
        <v>86296.39</v>
      </c>
      <c r="F21" s="215">
        <v>88659.72</v>
      </c>
      <c r="G21" s="215">
        <v>397738.4</v>
      </c>
    </row>
    <row r="22" spans="1:7" s="41" customFormat="1" ht="11.25" x14ac:dyDescent="0.2">
      <c r="A22" s="213" t="s">
        <v>1127</v>
      </c>
      <c r="B22" s="214" t="s">
        <v>775</v>
      </c>
      <c r="C22" s="215">
        <v>4862926.13</v>
      </c>
      <c r="D22" s="215">
        <v>3566489.38</v>
      </c>
      <c r="E22" s="215">
        <v>4197905.1900000004</v>
      </c>
      <c r="F22" s="215">
        <v>3868155.1</v>
      </c>
      <c r="G22" s="215">
        <v>16495475.800000001</v>
      </c>
    </row>
    <row r="23" spans="1:7" s="41" customFormat="1" ht="11.25" x14ac:dyDescent="0.2">
      <c r="A23" s="213" t="s">
        <v>1128</v>
      </c>
      <c r="B23" s="214" t="s">
        <v>998</v>
      </c>
      <c r="C23" s="215">
        <v>1259763.58</v>
      </c>
      <c r="D23" s="215">
        <v>1257470.51</v>
      </c>
      <c r="E23" s="215">
        <v>1701878.35</v>
      </c>
      <c r="F23" s="215">
        <v>2166408.7599999998</v>
      </c>
      <c r="G23" s="215">
        <v>6385521.2000000002</v>
      </c>
    </row>
    <row r="24" spans="1:7" s="41" customFormat="1" ht="11.25" x14ac:dyDescent="0.2">
      <c r="A24" s="213" t="s">
        <v>607</v>
      </c>
      <c r="B24" s="214" t="s">
        <v>615</v>
      </c>
      <c r="C24" s="215">
        <v>698996.23</v>
      </c>
      <c r="D24" s="215">
        <v>697723.88</v>
      </c>
      <c r="E24" s="215">
        <v>697723.88</v>
      </c>
      <c r="F24" s="215">
        <v>704530.95</v>
      </c>
      <c r="G24" s="215">
        <v>2798974.94</v>
      </c>
    </row>
    <row r="25" spans="1:7" s="41" customFormat="1" ht="11.25" x14ac:dyDescent="0.2">
      <c r="A25" s="213" t="s">
        <v>1129</v>
      </c>
      <c r="B25" s="214" t="s">
        <v>355</v>
      </c>
      <c r="C25" s="215">
        <v>5659104.3300000001</v>
      </c>
      <c r="D25" s="215">
        <v>6046374.04</v>
      </c>
      <c r="E25" s="215">
        <v>6647958.79</v>
      </c>
      <c r="F25" s="215">
        <v>7339716.5099999998</v>
      </c>
      <c r="G25" s="215">
        <v>25693153.670000002</v>
      </c>
    </row>
    <row r="26" spans="1:7" s="41" customFormat="1" ht="11.25" x14ac:dyDescent="0.2">
      <c r="A26" s="213" t="s">
        <v>1130</v>
      </c>
      <c r="B26" s="214" t="s">
        <v>387</v>
      </c>
      <c r="C26" s="215">
        <v>237939.85</v>
      </c>
      <c r="D26" s="215">
        <v>187561.88</v>
      </c>
      <c r="E26" s="215">
        <v>215882.72</v>
      </c>
      <c r="F26" s="215">
        <v>222951.22</v>
      </c>
      <c r="G26" s="215">
        <v>864335.67</v>
      </c>
    </row>
    <row r="27" spans="1:7" s="41" customFormat="1" ht="11.25" x14ac:dyDescent="0.2">
      <c r="A27" s="213" t="s">
        <v>1131</v>
      </c>
      <c r="B27" s="214" t="s">
        <v>405</v>
      </c>
      <c r="C27" s="215">
        <v>7649359.2699999996</v>
      </c>
      <c r="D27" s="215">
        <v>8192825.46</v>
      </c>
      <c r="E27" s="215">
        <v>9050700.0299999993</v>
      </c>
      <c r="F27" s="215">
        <v>9973099.7400000002</v>
      </c>
      <c r="G27" s="215">
        <v>34865984.5</v>
      </c>
    </row>
    <row r="28" spans="1:7" s="41" customFormat="1" ht="11.25" x14ac:dyDescent="0.2">
      <c r="A28" s="213" t="s">
        <v>1132</v>
      </c>
      <c r="B28" s="214" t="s">
        <v>435</v>
      </c>
      <c r="C28" s="215">
        <v>780568.77</v>
      </c>
      <c r="D28" s="215">
        <v>835746.15</v>
      </c>
      <c r="E28" s="215">
        <v>913492.64</v>
      </c>
      <c r="F28" s="215">
        <v>1011667.02</v>
      </c>
      <c r="G28" s="215">
        <v>3541474.58</v>
      </c>
    </row>
    <row r="29" spans="1:7" s="41" customFormat="1" ht="11.25" x14ac:dyDescent="0.2">
      <c r="A29" s="213" t="s">
        <v>1133</v>
      </c>
      <c r="B29" s="214" t="s">
        <v>417</v>
      </c>
      <c r="C29" s="215">
        <v>112236.49</v>
      </c>
      <c r="D29" s="215">
        <v>117307.13</v>
      </c>
      <c r="E29" s="215">
        <v>129996.05</v>
      </c>
      <c r="F29" s="215">
        <v>142182.94</v>
      </c>
      <c r="G29" s="215">
        <v>501722.61</v>
      </c>
    </row>
    <row r="30" spans="1:7" s="41" customFormat="1" ht="11.25" x14ac:dyDescent="0.2"/>
    <row r="31" spans="1:7" s="41" customFormat="1" ht="11.25" x14ac:dyDescent="0.2">
      <c r="A31" s="216"/>
      <c r="B31" s="217" t="s">
        <v>1134</v>
      </c>
      <c r="C31" s="218">
        <f>C12-C14</f>
        <v>117595827.49999999</v>
      </c>
      <c r="D31" s="219">
        <f t="shared" ref="D31:F31" si="0">D12-D14</f>
        <v>129872207.47000001</v>
      </c>
      <c r="E31" s="218">
        <f t="shared" si="0"/>
        <v>140645565.94999999</v>
      </c>
      <c r="F31" s="219">
        <f t="shared" si="0"/>
        <v>153271149.81999999</v>
      </c>
      <c r="G31" s="220">
        <f>SUM(C31:F31)</f>
        <v>541384750.74000001</v>
      </c>
    </row>
    <row r="32" spans="1:7" s="41" customFormat="1" ht="11.25" x14ac:dyDescent="0.2"/>
    <row r="33" spans="1:7" s="41" customFormat="1" ht="11.25" x14ac:dyDescent="0.2"/>
    <row r="34" spans="1:7" s="41" customFormat="1" ht="11.25" x14ac:dyDescent="0.2"/>
    <row r="35" spans="1:7" x14ac:dyDescent="0.25">
      <c r="B35" s="198" t="s">
        <v>1135</v>
      </c>
      <c r="C35" s="206" t="s">
        <v>1136</v>
      </c>
    </row>
    <row r="36" spans="1:7" x14ac:dyDescent="0.25">
      <c r="A36" s="186" t="s">
        <v>166</v>
      </c>
      <c r="B36" s="187" t="s">
        <v>216</v>
      </c>
      <c r="C36" s="188">
        <v>3158978.58</v>
      </c>
      <c r="D36" s="188">
        <v>2559856.7999999998</v>
      </c>
      <c r="E36" s="188">
        <v>2975754.75</v>
      </c>
      <c r="F36" s="188">
        <v>3060196.87</v>
      </c>
      <c r="G36" s="188">
        <v>11754787</v>
      </c>
    </row>
    <row r="37" spans="1:7" x14ac:dyDescent="0.25">
      <c r="A37" s="186" t="s">
        <v>167</v>
      </c>
      <c r="B37" s="187" t="s">
        <v>224</v>
      </c>
      <c r="C37" s="188">
        <v>169713.35</v>
      </c>
      <c r="D37" s="188">
        <v>137526.04999999999</v>
      </c>
      <c r="E37" s="188">
        <v>159880.6</v>
      </c>
      <c r="F37" s="188">
        <v>164406.39000000001</v>
      </c>
      <c r="G37" s="188">
        <v>631526.39</v>
      </c>
    </row>
    <row r="38" spans="1:7" x14ac:dyDescent="0.25">
      <c r="A38" t="s">
        <v>1137</v>
      </c>
    </row>
  </sheetData>
  <mergeCells count="1">
    <mergeCell ref="C9:E9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DFCB-4579-4D14-B60C-BAF10C9A1BFA}">
  <dimension ref="A1:E19"/>
  <sheetViews>
    <sheetView view="pageBreakPreview" topLeftCell="A23" zoomScale="60" zoomScaleNormal="100" workbookViewId="0">
      <selection activeCell="E41" sqref="A1:E41"/>
    </sheetView>
  </sheetViews>
  <sheetFormatPr defaultRowHeight="15" x14ac:dyDescent="0.25"/>
  <cols>
    <col min="1" max="1" width="71.28515625" customWidth="1"/>
    <col min="2" max="2" width="14.7109375" bestFit="1" customWidth="1"/>
    <col min="3" max="4" width="14.7109375" customWidth="1"/>
    <col min="5" max="5" width="14.7109375" bestFit="1" customWidth="1"/>
  </cols>
  <sheetData>
    <row r="1" spans="1:5" x14ac:dyDescent="0.25">
      <c r="A1" s="291" t="str">
        <f>[1]Parâmetros!A7</f>
        <v>Município de :  Caçapava do sul</v>
      </c>
      <c r="B1" s="292"/>
      <c r="C1" s="292"/>
      <c r="D1" s="292"/>
      <c r="E1" s="221"/>
    </row>
    <row r="2" spans="1:5" x14ac:dyDescent="0.25">
      <c r="A2" s="293" t="str">
        <f>[1]Parâmetros!A8</f>
        <v>PLANO PLURIANUAL 2022 - 2025</v>
      </c>
      <c r="B2" s="293"/>
      <c r="C2" s="293"/>
      <c r="D2" s="293"/>
      <c r="E2" s="222"/>
    </row>
    <row r="3" spans="1:5" x14ac:dyDescent="0.25">
      <c r="A3" s="294" t="s">
        <v>1149</v>
      </c>
      <c r="B3" s="295"/>
      <c r="C3" s="295"/>
      <c r="D3" s="295"/>
      <c r="E3" s="296"/>
    </row>
    <row r="4" spans="1:5" x14ac:dyDescent="0.25">
      <c r="A4" s="223"/>
      <c r="B4" s="224"/>
      <c r="C4" s="224"/>
      <c r="D4" s="224"/>
      <c r="E4" s="224"/>
    </row>
    <row r="5" spans="1:5" x14ac:dyDescent="0.25">
      <c r="A5" s="297" t="s">
        <v>1138</v>
      </c>
      <c r="B5" s="299"/>
      <c r="C5" s="300"/>
      <c r="D5" s="300"/>
      <c r="E5" s="301"/>
    </row>
    <row r="6" spans="1:5" x14ac:dyDescent="0.25">
      <c r="A6" s="298"/>
      <c r="B6" s="225">
        <f>[1]RCL!B5</f>
        <v>2022</v>
      </c>
      <c r="C6" s="225">
        <f>[1]RCL!C5</f>
        <v>2023</v>
      </c>
      <c r="D6" s="225">
        <f>[1]RCL!D5</f>
        <v>2024</v>
      </c>
      <c r="E6" s="225">
        <f>[1]RCL!E5</f>
        <v>2025</v>
      </c>
    </row>
    <row r="7" spans="1:5" x14ac:dyDescent="0.25">
      <c r="A7" s="226" t="s">
        <v>1139</v>
      </c>
      <c r="B7" s="227">
        <v>63501746.850000001</v>
      </c>
      <c r="C7" s="227">
        <v>70130992.033800006</v>
      </c>
      <c r="D7" s="227">
        <v>75948605.613000005</v>
      </c>
      <c r="E7" s="227">
        <v>82766420.902800009</v>
      </c>
    </row>
    <row r="8" spans="1:5" x14ac:dyDescent="0.25">
      <c r="A8" s="226" t="s">
        <v>1140</v>
      </c>
      <c r="B8" s="227">
        <v>60326659.5075</v>
      </c>
      <c r="C8" s="227">
        <v>66624442.432110004</v>
      </c>
      <c r="D8" s="227">
        <v>72151175.332350001</v>
      </c>
      <c r="E8" s="227">
        <v>78628099.857659996</v>
      </c>
    </row>
    <row r="9" spans="1:5" x14ac:dyDescent="0.25">
      <c r="A9" s="226" t="s">
        <v>1141</v>
      </c>
      <c r="B9" s="227">
        <v>57151572.164999999</v>
      </c>
      <c r="C9" s="227">
        <v>63117892.830419995</v>
      </c>
      <c r="D9" s="227">
        <v>68353745.051699996</v>
      </c>
      <c r="E9" s="227">
        <v>74489778.812519997</v>
      </c>
    </row>
    <row r="10" spans="1:5" x14ac:dyDescent="0.25">
      <c r="A10" s="228"/>
      <c r="B10" s="229"/>
      <c r="C10" s="229"/>
      <c r="D10" s="229"/>
      <c r="E10" s="229"/>
    </row>
    <row r="11" spans="1:5" x14ac:dyDescent="0.25">
      <c r="A11" s="228"/>
      <c r="B11" s="229"/>
      <c r="C11" s="229"/>
      <c r="D11" s="229"/>
      <c r="E11" s="229"/>
    </row>
    <row r="12" spans="1:5" x14ac:dyDescent="0.25">
      <c r="A12" s="302" t="s">
        <v>1142</v>
      </c>
      <c r="B12" s="299"/>
      <c r="C12" s="300"/>
      <c r="D12" s="300"/>
      <c r="E12" s="301"/>
    </row>
    <row r="13" spans="1:5" x14ac:dyDescent="0.25">
      <c r="A13" s="303"/>
      <c r="B13" s="225">
        <f>[1]RCL!B5</f>
        <v>2022</v>
      </c>
      <c r="C13" s="225">
        <f>[1]RCL!C5</f>
        <v>2023</v>
      </c>
      <c r="D13" s="225">
        <f>[1]RCL!D5</f>
        <v>2024</v>
      </c>
      <c r="E13" s="225">
        <f>[1]RCL!E5</f>
        <v>2025</v>
      </c>
    </row>
    <row r="14" spans="1:5" x14ac:dyDescent="0.25">
      <c r="A14" s="230" t="s">
        <v>1143</v>
      </c>
      <c r="B14" s="227">
        <v>7055749.6499999994</v>
      </c>
      <c r="C14" s="227">
        <v>7792332.4481999995</v>
      </c>
      <c r="D14" s="227">
        <v>8438733.9569999985</v>
      </c>
      <c r="E14" s="227">
        <v>9196268.9891999997</v>
      </c>
    </row>
    <row r="15" spans="1:5" x14ac:dyDescent="0.25">
      <c r="A15" s="231" t="s">
        <v>1144</v>
      </c>
      <c r="B15" s="227">
        <v>6702962.1675000004</v>
      </c>
      <c r="C15" s="227">
        <v>7402715.8257900001</v>
      </c>
      <c r="D15" s="227">
        <v>8016797.2591499994</v>
      </c>
      <c r="E15" s="227">
        <v>8736455.5397399999</v>
      </c>
    </row>
    <row r="16" spans="1:5" x14ac:dyDescent="0.25">
      <c r="A16" s="232" t="s">
        <v>1145</v>
      </c>
      <c r="B16" s="227">
        <v>6350174.6849999996</v>
      </c>
      <c r="C16" s="227">
        <v>7013099.2033799998</v>
      </c>
      <c r="D16" s="227">
        <v>7594860.5612999992</v>
      </c>
      <c r="E16" s="227">
        <v>8276642.0902799992</v>
      </c>
    </row>
    <row r="19" spans="1:1" x14ac:dyDescent="0.25">
      <c r="A19" s="233"/>
    </row>
  </sheetData>
  <mergeCells count="7">
    <mergeCell ref="A12:A13"/>
    <mergeCell ref="B12:E12"/>
    <mergeCell ref="A1:D1"/>
    <mergeCell ref="A2:D2"/>
    <mergeCell ref="A3:E3"/>
    <mergeCell ref="A5:A6"/>
    <mergeCell ref="B5:E5"/>
  </mergeCells>
  <pageMargins left="0.511811024" right="0.511811024" top="0.78740157499999996" bottom="0.78740157499999996" header="0.31496062000000002" footer="0.31496062000000002"/>
  <pageSetup paperSize="9" scale="66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57150</xdr:colOff>
                <xdr:row>17</xdr:row>
                <xdr:rowOff>19050</xdr:rowOff>
              </from>
              <to>
                <xdr:col>5</xdr:col>
                <xdr:colOff>47625</xdr:colOff>
                <xdr:row>39</xdr:row>
                <xdr:rowOff>9525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10063-85D4-4774-80E6-DA85FD257790}">
  <dimension ref="A1:J53"/>
  <sheetViews>
    <sheetView view="pageBreakPreview" zoomScale="60" zoomScaleNormal="100" workbookViewId="0">
      <selection activeCell="A44" sqref="A44"/>
    </sheetView>
  </sheetViews>
  <sheetFormatPr defaultRowHeight="11.25" x14ac:dyDescent="0.2"/>
  <cols>
    <col min="1" max="1" width="9.5703125" style="41" customWidth="1"/>
    <col min="2" max="2" width="26.140625" style="41" customWidth="1"/>
    <col min="3" max="3" width="12.28515625" style="41" customWidth="1"/>
    <col min="4" max="4" width="11.85546875" style="41" customWidth="1"/>
    <col min="5" max="6" width="11.7109375" style="41" customWidth="1"/>
    <col min="7" max="7" width="12.85546875" style="41" bestFit="1" customWidth="1"/>
    <col min="8" max="8" width="9.140625" style="41"/>
    <col min="9" max="9" width="12.5703125" style="41" bestFit="1" customWidth="1"/>
    <col min="10" max="16384" width="9.140625" style="41"/>
  </cols>
  <sheetData>
    <row r="1" spans="1:10" x14ac:dyDescent="0.2">
      <c r="A1" s="236"/>
      <c r="B1" s="41" t="s">
        <v>1150</v>
      </c>
    </row>
    <row r="2" spans="1:10" ht="12.75" x14ac:dyDescent="0.2">
      <c r="B2" s="237" t="s">
        <v>1151</v>
      </c>
      <c r="C2" s="238" t="s">
        <v>1152</v>
      </c>
      <c r="D2" s="239"/>
    </row>
    <row r="3" spans="1:10" x14ac:dyDescent="0.2">
      <c r="B3" s="9"/>
      <c r="C3" s="9"/>
      <c r="D3" s="9"/>
    </row>
    <row r="4" spans="1:10" x14ac:dyDescent="0.2">
      <c r="A4" s="240" t="s">
        <v>1153</v>
      </c>
    </row>
    <row r="5" spans="1:10" x14ac:dyDescent="0.2">
      <c r="A5" s="241"/>
      <c r="B5" s="242" t="s">
        <v>1154</v>
      </c>
      <c r="C5" s="243">
        <v>2022</v>
      </c>
      <c r="D5" s="243">
        <v>2023</v>
      </c>
      <c r="E5" s="158">
        <v>2024</v>
      </c>
      <c r="F5" s="158">
        <v>2025</v>
      </c>
      <c r="G5" s="243" t="s">
        <v>1155</v>
      </c>
    </row>
    <row r="6" spans="1:10" x14ac:dyDescent="0.2">
      <c r="A6" s="244" t="s">
        <v>1156</v>
      </c>
      <c r="B6" s="245" t="s">
        <v>1157</v>
      </c>
      <c r="C6" s="163" t="s">
        <v>1158</v>
      </c>
      <c r="D6" s="163" t="s">
        <v>1158</v>
      </c>
      <c r="E6" s="155" t="s">
        <v>1159</v>
      </c>
      <c r="F6" s="155" t="s">
        <v>1160</v>
      </c>
      <c r="G6" s="243" t="s">
        <v>636</v>
      </c>
    </row>
    <row r="7" spans="1:10" x14ac:dyDescent="0.2">
      <c r="A7" s="246" t="s">
        <v>1161</v>
      </c>
      <c r="B7" s="8" t="s">
        <v>1162</v>
      </c>
      <c r="C7" s="247">
        <f>[2]RecTotal!C16</f>
        <v>16164648</v>
      </c>
      <c r="D7" s="247">
        <f>[2]RecTotal!E16</f>
        <v>12586830.369999999</v>
      </c>
      <c r="E7" s="247">
        <f>[2]RecTotal!G16</f>
        <v>14335023.01</v>
      </c>
      <c r="F7" s="41">
        <f>[2]RecTotal!I16</f>
        <v>14251067.439999999</v>
      </c>
      <c r="G7" s="247">
        <f>SUM(C7:F7)</f>
        <v>57337568.819999993</v>
      </c>
    </row>
    <row r="8" spans="1:10" x14ac:dyDescent="0.2">
      <c r="A8" s="248" t="s">
        <v>1163</v>
      </c>
      <c r="B8" s="8" t="s">
        <v>1164</v>
      </c>
      <c r="C8" s="249">
        <f>[2]RecTotal!C192</f>
        <v>3989813.88</v>
      </c>
      <c r="D8" s="249">
        <f>[2]RecTotal!E192</f>
        <v>3982551.44</v>
      </c>
      <c r="E8" s="249">
        <f>[2]RecTotal!G192</f>
        <v>3982551.44</v>
      </c>
      <c r="F8" s="249">
        <f>[2]RecTotal!I192</f>
        <v>4021405.6</v>
      </c>
      <c r="G8" s="247">
        <f t="shared" ref="G8:G28" si="0">SUM(C8:F8)</f>
        <v>15976322.359999999</v>
      </c>
    </row>
    <row r="9" spans="1:10" x14ac:dyDescent="0.2">
      <c r="A9" s="246" t="s">
        <v>1165</v>
      </c>
      <c r="B9" s="8" t="s">
        <v>1166</v>
      </c>
      <c r="C9" s="249"/>
      <c r="D9" s="249"/>
      <c r="E9" s="250"/>
      <c r="F9" s="250"/>
      <c r="G9" s="247">
        <f t="shared" si="0"/>
        <v>0</v>
      </c>
    </row>
    <row r="10" spans="1:10" x14ac:dyDescent="0.2">
      <c r="A10" s="246" t="s">
        <v>1167</v>
      </c>
      <c r="B10" s="8" t="s">
        <v>1168</v>
      </c>
      <c r="C10" s="249"/>
      <c r="D10" s="249"/>
      <c r="E10" s="250"/>
      <c r="F10" s="250"/>
      <c r="G10" s="247">
        <f t="shared" si="0"/>
        <v>0</v>
      </c>
    </row>
    <row r="11" spans="1:10" x14ac:dyDescent="0.2">
      <c r="A11" s="246" t="s">
        <v>1169</v>
      </c>
      <c r="B11" s="8" t="s">
        <v>1170</v>
      </c>
      <c r="C11" s="249"/>
      <c r="D11" s="249"/>
      <c r="E11" s="250"/>
      <c r="F11" s="8"/>
      <c r="G11" s="247">
        <f t="shared" si="0"/>
        <v>0</v>
      </c>
    </row>
    <row r="12" spans="1:10" x14ac:dyDescent="0.2">
      <c r="A12" s="248" t="s">
        <v>1171</v>
      </c>
      <c r="B12" s="8" t="s">
        <v>1172</v>
      </c>
      <c r="C12" s="249">
        <f>[2]RecTotal!C209</f>
        <v>1163888.42</v>
      </c>
      <c r="D12" s="249">
        <f>[2]RecTotal!E209</f>
        <v>910535.75</v>
      </c>
      <c r="E12" s="249">
        <f>[2]RecTotal!G209</f>
        <v>1050222.82</v>
      </c>
      <c r="F12" s="249">
        <f>[2]RecTotal!I209</f>
        <v>1070017</v>
      </c>
      <c r="G12" s="247">
        <f t="shared" si="0"/>
        <v>4194663.99</v>
      </c>
    </row>
    <row r="13" spans="1:10" x14ac:dyDescent="0.2">
      <c r="A13" s="248" t="s">
        <v>183</v>
      </c>
      <c r="B13" s="8" t="s">
        <v>1173</v>
      </c>
      <c r="C13" s="249">
        <f>[2]RecTotal!C259</f>
        <v>28295521.66</v>
      </c>
      <c r="D13" s="249">
        <f>[2]RecTotal!E259</f>
        <v>30231870.210000001</v>
      </c>
      <c r="E13" s="249">
        <f>[2]RecTotal!G259</f>
        <v>33239793.960000001</v>
      </c>
      <c r="F13" s="249">
        <f>[2]RecTotal!I259</f>
        <v>36698582.539999999</v>
      </c>
      <c r="G13" s="247">
        <f t="shared" si="0"/>
        <v>128465768.37</v>
      </c>
      <c r="I13" s="177"/>
      <c r="J13" s="177"/>
    </row>
    <row r="14" spans="1:10" x14ac:dyDescent="0.2">
      <c r="A14" s="246" t="s">
        <v>1174</v>
      </c>
      <c r="B14" s="8" t="s">
        <v>1175</v>
      </c>
      <c r="C14" s="250">
        <f>-[2]RecTotal!C523</f>
        <v>-5659104.3300000001</v>
      </c>
      <c r="D14" s="250">
        <f>-[2]RecTotal!E523</f>
        <v>-6046374.04</v>
      </c>
      <c r="E14" s="250">
        <f>-[2]RecTotal!G523</f>
        <v>-6647958.79</v>
      </c>
      <c r="F14" s="177">
        <f>-[2]RecTotal!I523</f>
        <v>-7339716.5099999998</v>
      </c>
      <c r="G14" s="247">
        <f t="shared" si="0"/>
        <v>-25693153.670000002</v>
      </c>
    </row>
    <row r="15" spans="1:10" x14ac:dyDescent="0.2">
      <c r="A15" s="246" t="s">
        <v>83</v>
      </c>
      <c r="B15" s="8" t="s">
        <v>1176</v>
      </c>
      <c r="C15" s="249">
        <f>[2]RecTotal!C275</f>
        <v>1189699.26</v>
      </c>
      <c r="D15" s="249">
        <f>[2]RecTotal!E275</f>
        <v>937809.4</v>
      </c>
      <c r="E15" s="249">
        <f>[2]RecTotal!G275</f>
        <v>1079413.6100000001</v>
      </c>
      <c r="F15" s="249">
        <f>[2]RecTotal!I275</f>
        <v>1114756.08</v>
      </c>
      <c r="G15" s="247">
        <f t="shared" si="0"/>
        <v>4321678.3500000006</v>
      </c>
    </row>
    <row r="16" spans="1:10" x14ac:dyDescent="0.2">
      <c r="A16" s="246" t="s">
        <v>1177</v>
      </c>
      <c r="B16" s="8" t="s">
        <v>1178</v>
      </c>
      <c r="C16" s="250">
        <f>-[2]RecTotal!C526</f>
        <v>-237939.85</v>
      </c>
      <c r="D16" s="250">
        <f>-[2]RecTotal!E526</f>
        <v>-187561.88</v>
      </c>
      <c r="E16" s="250">
        <f>-[2]RecTotal!G526</f>
        <v>-215882.72</v>
      </c>
      <c r="F16" s="250">
        <f>-[2]RecTotal!I526</f>
        <v>-222951.22</v>
      </c>
      <c r="G16" s="247">
        <f t="shared" si="0"/>
        <v>-864335.66999999993</v>
      </c>
    </row>
    <row r="17" spans="1:7" x14ac:dyDescent="0.2">
      <c r="A17" s="246" t="s">
        <v>1179</v>
      </c>
      <c r="B17" s="8" t="s">
        <v>1180</v>
      </c>
      <c r="C17" s="249"/>
      <c r="E17" s="250"/>
      <c r="F17" s="250"/>
      <c r="G17" s="247">
        <f t="shared" si="0"/>
        <v>0</v>
      </c>
    </row>
    <row r="18" spans="1:7" x14ac:dyDescent="0.2">
      <c r="A18" s="246" t="s">
        <v>1181</v>
      </c>
      <c r="B18" s="8" t="s">
        <v>1182</v>
      </c>
      <c r="C18" s="249"/>
      <c r="D18" s="249"/>
      <c r="E18" s="250"/>
      <c r="F18" s="250"/>
      <c r="G18" s="247">
        <f t="shared" si="0"/>
        <v>0</v>
      </c>
    </row>
    <row r="19" spans="1:7" x14ac:dyDescent="0.2">
      <c r="A19" s="246" t="s">
        <v>1183</v>
      </c>
      <c r="B19" s="8" t="s">
        <v>1184</v>
      </c>
      <c r="C19" s="249">
        <f>[2]RecTotal!C353</f>
        <v>38246796.359999999</v>
      </c>
      <c r="D19" s="249">
        <f>[2]RecTotal!E353</f>
        <v>40964127.289999999</v>
      </c>
      <c r="E19" s="249">
        <f>[2]RecTotal!G353</f>
        <v>45253500.149999999</v>
      </c>
      <c r="F19" s="249">
        <f>[2]RecTotal!I353</f>
        <v>49865498.719999999</v>
      </c>
      <c r="G19" s="247">
        <f t="shared" si="0"/>
        <v>174329922.52000001</v>
      </c>
    </row>
    <row r="20" spans="1:7" x14ac:dyDescent="0.2">
      <c r="A20" s="246" t="s">
        <v>1185</v>
      </c>
      <c r="B20" s="8" t="s">
        <v>1182</v>
      </c>
      <c r="C20" s="250">
        <f>-[2]RecTotal!C532</f>
        <v>-7649359.2699999996</v>
      </c>
      <c r="D20" s="250">
        <f>-[2]RecTotal!E532</f>
        <v>-8192825.46</v>
      </c>
      <c r="E20" s="250">
        <f>-[2]RecTotal!G532</f>
        <v>-9050700.0299999993</v>
      </c>
      <c r="F20" s="250">
        <f>-[2]RecTotal!I532</f>
        <v>-9973099.7400000002</v>
      </c>
      <c r="G20" s="247">
        <f t="shared" si="0"/>
        <v>-34865984.5</v>
      </c>
    </row>
    <row r="21" spans="1:7" x14ac:dyDescent="0.2">
      <c r="A21" s="246" t="s">
        <v>1186</v>
      </c>
      <c r="B21" s="8" t="s">
        <v>1187</v>
      </c>
      <c r="C21" s="249">
        <f>[2]RecTotal!C365</f>
        <v>3902843.86</v>
      </c>
      <c r="D21" s="249">
        <f>[2]RecTotal!E365</f>
        <v>4178730.75</v>
      </c>
      <c r="E21" s="249">
        <f>[2]RecTotal!G365</f>
        <v>4567463.1900000004</v>
      </c>
      <c r="F21" s="249">
        <f>[2]RecTotal!I365</f>
        <v>5058335.12</v>
      </c>
      <c r="G21" s="247">
        <f t="shared" si="0"/>
        <v>17707372.920000002</v>
      </c>
    </row>
    <row r="22" spans="1:7" x14ac:dyDescent="0.2">
      <c r="A22" s="246" t="s">
        <v>1188</v>
      </c>
      <c r="B22" s="8" t="s">
        <v>1182</v>
      </c>
      <c r="C22" s="250">
        <f>-[2]RecTotal!C541</f>
        <v>-780568.77</v>
      </c>
      <c r="D22" s="250">
        <f>-[2]RecTotal!E541</f>
        <v>-835746.15</v>
      </c>
      <c r="E22" s="250">
        <f>-[2]RecTotal!G541</f>
        <v>-913492.64</v>
      </c>
      <c r="F22" s="250">
        <f>-[2]RecTotal!I541</f>
        <v>-1011667.02</v>
      </c>
      <c r="G22" s="247">
        <f t="shared" si="0"/>
        <v>-3541474.58</v>
      </c>
    </row>
    <row r="23" spans="1:7" x14ac:dyDescent="0.2">
      <c r="A23" s="246" t="s">
        <v>1189</v>
      </c>
      <c r="B23" s="8" t="s">
        <v>1190</v>
      </c>
      <c r="C23" s="249">
        <f>[2]RecTotal!C371</f>
        <v>561182.43000000005</v>
      </c>
      <c r="D23" s="249">
        <f>[2]RecTotal!E371</f>
        <v>586535.65</v>
      </c>
      <c r="E23" s="249">
        <f>[2]RecTotal!G371</f>
        <v>649980.23</v>
      </c>
      <c r="F23" s="249">
        <f>[2]RecTotal!I371</f>
        <v>710914.72</v>
      </c>
      <c r="G23" s="247">
        <f t="shared" si="0"/>
        <v>2508613.0300000003</v>
      </c>
    </row>
    <row r="24" spans="1:7" x14ac:dyDescent="0.2">
      <c r="A24" s="246" t="s">
        <v>1191</v>
      </c>
      <c r="B24" s="8" t="s">
        <v>1182</v>
      </c>
      <c r="C24" s="250">
        <f>-[2]RecTotal!C544</f>
        <v>-112236.49</v>
      </c>
      <c r="D24" s="250">
        <f>-[2]RecTotal!E544</f>
        <v>-117307.13</v>
      </c>
      <c r="E24" s="250">
        <f>-[2]RecTotal!G544</f>
        <v>-129996.05</v>
      </c>
      <c r="F24" s="250">
        <f>-[2]RecTotal!I544</f>
        <v>-142182.94</v>
      </c>
      <c r="G24" s="247">
        <f t="shared" si="0"/>
        <v>-501722.61</v>
      </c>
    </row>
    <row r="25" spans="1:7" s="77" customFormat="1" x14ac:dyDescent="0.2">
      <c r="A25" s="251" t="s">
        <v>1192</v>
      </c>
      <c r="B25" s="6" t="s">
        <v>1193</v>
      </c>
      <c r="C25" s="252">
        <f>[2]RecTotal!C377</f>
        <v>133709.76000000001</v>
      </c>
      <c r="D25" s="252">
        <f>[2]RecTotal!E377</f>
        <v>87941.06</v>
      </c>
      <c r="E25" s="252">
        <f>[2]RecTotal!G377</f>
        <v>95331.3</v>
      </c>
      <c r="F25" s="252">
        <f>[2]RecTotal!I377</f>
        <v>103823.88</v>
      </c>
      <c r="G25" s="247">
        <f t="shared" si="0"/>
        <v>420806</v>
      </c>
    </row>
    <row r="26" spans="1:7" s="77" customFormat="1" x14ac:dyDescent="0.2">
      <c r="A26" s="253"/>
      <c r="B26" s="6"/>
      <c r="C26" s="252"/>
      <c r="D26" s="252"/>
      <c r="E26" s="254"/>
      <c r="F26" s="254"/>
      <c r="G26" s="247">
        <f t="shared" si="0"/>
        <v>0</v>
      </c>
    </row>
    <row r="27" spans="1:7" s="77" customFormat="1" x14ac:dyDescent="0.2">
      <c r="A27" s="255"/>
      <c r="B27" s="6"/>
      <c r="C27" s="256"/>
      <c r="D27" s="252"/>
      <c r="E27" s="254"/>
      <c r="F27" s="254"/>
      <c r="G27" s="247">
        <f t="shared" si="0"/>
        <v>0</v>
      </c>
    </row>
    <row r="28" spans="1:7" x14ac:dyDescent="0.2">
      <c r="A28" s="257"/>
      <c r="B28" s="258" t="s">
        <v>1194</v>
      </c>
      <c r="C28" s="4">
        <f>SUM(C7:C27)</f>
        <v>79208894.920000017</v>
      </c>
      <c r="D28" s="4">
        <f>SUM(D7:D27)</f>
        <v>79087117.260000005</v>
      </c>
      <c r="E28" s="4">
        <f>SUM(E7:E27)</f>
        <v>87295249.480000004</v>
      </c>
      <c r="F28" s="259">
        <f>SUM(F7:F27)</f>
        <v>94204783.670000017</v>
      </c>
      <c r="G28" s="12">
        <f t="shared" si="0"/>
        <v>339796045.33000004</v>
      </c>
    </row>
    <row r="29" spans="1:7" x14ac:dyDescent="0.2">
      <c r="A29" s="9"/>
      <c r="B29" s="8"/>
      <c r="C29" s="8"/>
      <c r="D29" s="8"/>
      <c r="E29" s="8"/>
      <c r="F29" s="260"/>
      <c r="G29" s="261"/>
    </row>
    <row r="30" spans="1:7" x14ac:dyDescent="0.2">
      <c r="A30" s="262" t="s">
        <v>1195</v>
      </c>
      <c r="B30" s="259"/>
      <c r="C30" s="263"/>
      <c r="D30" s="263"/>
      <c r="E30" s="264"/>
      <c r="F30" s="265"/>
      <c r="G30" s="266"/>
    </row>
    <row r="31" spans="1:7" x14ac:dyDescent="0.2">
      <c r="A31" s="8"/>
    </row>
    <row r="32" spans="1:7" s="77" customFormat="1" ht="8.25" x14ac:dyDescent="0.15">
      <c r="C32" s="6"/>
      <c r="D32" s="6"/>
      <c r="E32" s="6"/>
    </row>
    <row r="33" spans="1:8" x14ac:dyDescent="0.2">
      <c r="B33" s="267" t="s">
        <v>1196</v>
      </c>
      <c r="C33" s="8"/>
      <c r="D33" s="8"/>
      <c r="E33" s="8"/>
    </row>
    <row r="34" spans="1:8" x14ac:dyDescent="0.2">
      <c r="B34" s="267" t="s">
        <v>1197</v>
      </c>
      <c r="C34" s="8"/>
      <c r="D34" s="8"/>
      <c r="E34" s="8"/>
      <c r="F34" s="8"/>
      <c r="G34" s="261"/>
    </row>
    <row r="35" spans="1:8" s="77" customFormat="1" x14ac:dyDescent="0.2">
      <c r="B35" s="268">
        <v>7.0000000000000007E-2</v>
      </c>
      <c r="C35" s="243">
        <v>2022</v>
      </c>
      <c r="D35" s="243">
        <v>2023</v>
      </c>
      <c r="E35" s="158">
        <v>2024</v>
      </c>
      <c r="F35" s="158">
        <v>2025</v>
      </c>
      <c r="G35" s="243" t="s">
        <v>1155</v>
      </c>
    </row>
    <row r="36" spans="1:8" x14ac:dyDescent="0.2">
      <c r="B36" s="243" t="s">
        <v>1198</v>
      </c>
      <c r="C36" s="269">
        <f>B35*C28</f>
        <v>5544622.6444000015</v>
      </c>
      <c r="D36" s="269">
        <f>B35*D28</f>
        <v>5536098.2082000012</v>
      </c>
      <c r="E36" s="269">
        <f>B35*E28</f>
        <v>6110667.4636000013</v>
      </c>
      <c r="F36" s="269">
        <f>B35*F28</f>
        <v>6594334.8569000019</v>
      </c>
      <c r="G36" s="12">
        <f>SUM(C36:F36)</f>
        <v>23785723.173100006</v>
      </c>
    </row>
    <row r="37" spans="1:8" x14ac:dyDescent="0.2">
      <c r="B37" s="267"/>
      <c r="C37" s="8"/>
      <c r="D37" s="8"/>
      <c r="E37" s="8"/>
      <c r="F37" s="8"/>
      <c r="G37" s="8"/>
    </row>
    <row r="38" spans="1:8" x14ac:dyDescent="0.2">
      <c r="A38" s="9"/>
      <c r="B38" s="9"/>
      <c r="C38" s="9"/>
      <c r="D38" s="9"/>
      <c r="E38" s="9"/>
      <c r="F38" s="9"/>
      <c r="G38" s="9"/>
      <c r="H38" s="9"/>
    </row>
    <row r="39" spans="1:8" x14ac:dyDescent="0.2">
      <c r="A39" s="9"/>
      <c r="B39" s="9"/>
      <c r="C39" s="9"/>
      <c r="D39" s="9"/>
      <c r="E39" s="9"/>
      <c r="F39" s="9"/>
      <c r="G39" s="9"/>
      <c r="H39" s="9"/>
    </row>
    <row r="40" spans="1:8" x14ac:dyDescent="0.2">
      <c r="A40" s="9"/>
      <c r="B40" s="9"/>
      <c r="C40" s="9"/>
      <c r="D40" s="9"/>
      <c r="E40" s="9"/>
      <c r="F40" s="9"/>
      <c r="G40" s="9"/>
      <c r="H40" s="9"/>
    </row>
    <row r="41" spans="1:8" x14ac:dyDescent="0.2">
      <c r="A41" s="270" t="s">
        <v>1199</v>
      </c>
      <c r="B41" s="271"/>
      <c r="C41" s="272" t="s">
        <v>1200</v>
      </c>
      <c r="D41" s="272"/>
      <c r="E41" s="9"/>
      <c r="F41" s="273" t="s">
        <v>1201</v>
      </c>
      <c r="H41" s="9"/>
    </row>
    <row r="42" spans="1:8" x14ac:dyDescent="0.2">
      <c r="A42" s="270" t="s">
        <v>1202</v>
      </c>
      <c r="B42" s="271"/>
      <c r="C42" s="272" t="s">
        <v>1203</v>
      </c>
      <c r="D42" s="272"/>
      <c r="E42" s="9"/>
      <c r="F42" s="273" t="s">
        <v>1204</v>
      </c>
      <c r="H42" s="9"/>
    </row>
    <row r="43" spans="1:8" s="77" customFormat="1" x14ac:dyDescent="0.2">
      <c r="A43" s="9" t="s">
        <v>1213</v>
      </c>
      <c r="B43" s="274"/>
      <c r="C43" s="274"/>
      <c r="D43" s="274"/>
      <c r="E43" s="274"/>
      <c r="F43" s="274"/>
      <c r="G43" s="274"/>
      <c r="H43" s="274"/>
    </row>
    <row r="44" spans="1:8" x14ac:dyDescent="0.2">
      <c r="A44" s="9" t="s">
        <v>1214</v>
      </c>
      <c r="B44" s="9"/>
      <c r="C44" s="9"/>
      <c r="D44" s="9"/>
      <c r="E44" s="9"/>
      <c r="F44" s="9"/>
      <c r="G44" s="9"/>
      <c r="H44" s="9"/>
    </row>
    <row r="45" spans="1:8" x14ac:dyDescent="0.2">
      <c r="A45" s="9"/>
      <c r="B45" s="9"/>
      <c r="C45" s="9"/>
      <c r="D45" s="9"/>
      <c r="E45" s="9"/>
      <c r="F45" s="9"/>
      <c r="G45" s="9"/>
      <c r="H45" s="9"/>
    </row>
    <row r="46" spans="1:8" x14ac:dyDescent="0.2">
      <c r="A46" s="9"/>
      <c r="B46" s="9"/>
      <c r="C46" s="9"/>
      <c r="D46" s="9"/>
      <c r="E46" s="9"/>
      <c r="F46" s="9"/>
      <c r="G46" s="9"/>
      <c r="H46" s="9"/>
    </row>
    <row r="47" spans="1:8" x14ac:dyDescent="0.2">
      <c r="A47" s="9"/>
      <c r="B47" s="9"/>
      <c r="C47" s="9"/>
      <c r="D47" s="9"/>
      <c r="E47" s="9"/>
      <c r="F47" s="9"/>
      <c r="G47" s="9"/>
      <c r="H47" s="9"/>
    </row>
    <row r="48" spans="1:8" x14ac:dyDescent="0.2">
      <c r="A48" s="9"/>
      <c r="B48" s="9"/>
      <c r="C48" s="9"/>
      <c r="D48" s="9"/>
      <c r="E48" s="9"/>
      <c r="F48" s="9"/>
      <c r="G48" s="9"/>
      <c r="H48" s="9"/>
    </row>
    <row r="49" spans="1:8" x14ac:dyDescent="0.2">
      <c r="A49" s="9"/>
      <c r="B49" s="9"/>
      <c r="C49" s="9"/>
      <c r="D49" s="9"/>
      <c r="E49" s="9"/>
      <c r="F49" s="9"/>
      <c r="G49" s="9"/>
      <c r="H49" s="9"/>
    </row>
    <row r="50" spans="1:8" x14ac:dyDescent="0.2">
      <c r="A50" s="9"/>
      <c r="B50" s="9"/>
      <c r="C50" s="9"/>
      <c r="D50" s="9"/>
      <c r="E50" s="9"/>
      <c r="F50" s="9"/>
      <c r="G50" s="9"/>
      <c r="H50" s="9"/>
    </row>
    <row r="51" spans="1:8" x14ac:dyDescent="0.2">
      <c r="A51" s="9"/>
      <c r="B51" s="9"/>
      <c r="C51" s="9"/>
      <c r="D51" s="9"/>
      <c r="E51" s="9"/>
      <c r="F51" s="9"/>
      <c r="G51" s="9"/>
      <c r="H51" s="9"/>
    </row>
    <row r="53" spans="1:8" x14ac:dyDescent="0.2">
      <c r="C53" s="8"/>
      <c r="D53" s="8"/>
      <c r="E53" s="8"/>
      <c r="F53" s="8"/>
      <c r="G53" s="8"/>
    </row>
  </sheetData>
  <pageMargins left="0.511811024" right="0.511811024" top="0.78740157499999996" bottom="0.78740157499999996" header="0.31496062000000002" footer="0.31496062000000002"/>
  <pageSetup paperSize="9" scale="95" orientation="portrait" horizontalDpi="0" verticalDpi="0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F92C-B3FB-4321-9778-DFF3639E3FC3}">
  <dimension ref="A1:I24"/>
  <sheetViews>
    <sheetView view="pageBreakPreview" zoomScale="60" zoomScaleNormal="100" workbookViewId="0">
      <selection activeCell="A5" sqref="A5:XFD6"/>
    </sheetView>
  </sheetViews>
  <sheetFormatPr defaultRowHeight="15" x14ac:dyDescent="0.25"/>
  <cols>
    <col min="2" max="2" width="10.7109375" customWidth="1"/>
    <col min="3" max="6" width="14" bestFit="1" customWidth="1"/>
    <col min="7" max="7" width="15" bestFit="1" customWidth="1"/>
  </cols>
  <sheetData>
    <row r="1" spans="1:9" x14ac:dyDescent="0.25">
      <c r="A1" s="304" t="s">
        <v>1209</v>
      </c>
      <c r="B1" s="304"/>
      <c r="C1" s="304"/>
      <c r="D1" s="304"/>
      <c r="E1" s="304"/>
      <c r="F1" s="304"/>
      <c r="G1" s="304"/>
      <c r="H1" s="304"/>
      <c r="I1" s="304"/>
    </row>
    <row r="2" spans="1:9" x14ac:dyDescent="0.25">
      <c r="C2" s="43" t="s">
        <v>1205</v>
      </c>
    </row>
    <row r="3" spans="1:9" x14ac:dyDescent="0.25">
      <c r="A3" s="43" t="s">
        <v>1215</v>
      </c>
    </row>
    <row r="4" spans="1:9" x14ac:dyDescent="0.25">
      <c r="A4" s="43" t="s">
        <v>1216</v>
      </c>
    </row>
    <row r="5" spans="1:9" x14ac:dyDescent="0.25">
      <c r="A5" s="43"/>
    </row>
    <row r="6" spans="1:9" x14ac:dyDescent="0.25">
      <c r="A6" s="43"/>
    </row>
    <row r="7" spans="1:9" x14ac:dyDescent="0.25">
      <c r="A7" t="s">
        <v>1092</v>
      </c>
      <c r="C7" s="43"/>
    </row>
    <row r="8" spans="1:9" x14ac:dyDescent="0.25">
      <c r="C8" s="275">
        <v>7881554.1500000004</v>
      </c>
      <c r="D8" s="189">
        <v>7163668.0899999999</v>
      </c>
      <c r="E8" s="189">
        <v>8030343.1100000003</v>
      </c>
      <c r="F8" s="189">
        <v>8448973.1300000008</v>
      </c>
      <c r="G8" s="189">
        <v>31524538.48</v>
      </c>
    </row>
    <row r="9" spans="1:9" x14ac:dyDescent="0.25">
      <c r="A9" t="s">
        <v>1093</v>
      </c>
      <c r="C9" s="276"/>
    </row>
    <row r="10" spans="1:9" x14ac:dyDescent="0.25">
      <c r="C10" s="275">
        <v>25605080.170000002</v>
      </c>
      <c r="D10" s="189">
        <v>27943348.66</v>
      </c>
      <c r="E10" s="189">
        <v>30661285.32</v>
      </c>
      <c r="F10" s="189">
        <v>34337780.159999996</v>
      </c>
      <c r="G10" s="189">
        <v>118547494.31</v>
      </c>
    </row>
    <row r="11" spans="1:9" x14ac:dyDescent="0.25">
      <c r="A11" t="s">
        <v>1096</v>
      </c>
      <c r="C11" s="276"/>
    </row>
    <row r="12" spans="1:9" x14ac:dyDescent="0.25">
      <c r="C12" s="275">
        <v>708428.80000000005</v>
      </c>
      <c r="D12" s="189">
        <v>675814.94</v>
      </c>
      <c r="E12" s="189">
        <v>743944.17</v>
      </c>
      <c r="F12" s="189">
        <v>834234.34</v>
      </c>
      <c r="G12" s="189">
        <v>2962422.25</v>
      </c>
    </row>
    <row r="13" spans="1:9" x14ac:dyDescent="0.25">
      <c r="A13" t="s">
        <v>1097</v>
      </c>
      <c r="C13" s="276"/>
    </row>
    <row r="14" spans="1:9" x14ac:dyDescent="0.25">
      <c r="C14" s="275">
        <v>1885106.21</v>
      </c>
      <c r="D14" s="189">
        <v>2010427.88</v>
      </c>
      <c r="E14" s="189">
        <v>2195039.71</v>
      </c>
      <c r="F14" s="189">
        <v>2440968.48</v>
      </c>
      <c r="G14" s="189">
        <v>8531542.2799999993</v>
      </c>
    </row>
    <row r="15" spans="1:9" x14ac:dyDescent="0.25">
      <c r="A15" t="s">
        <v>1098</v>
      </c>
      <c r="C15" s="276"/>
    </row>
    <row r="16" spans="1:9" x14ac:dyDescent="0.25">
      <c r="C16" s="275">
        <v>248820.16</v>
      </c>
      <c r="D16" s="189">
        <v>273699.74</v>
      </c>
      <c r="E16" s="189">
        <v>303943.98</v>
      </c>
      <c r="F16" s="189">
        <v>344778.07</v>
      </c>
      <c r="G16" s="189">
        <v>1171241.95</v>
      </c>
    </row>
    <row r="17" spans="1:7" x14ac:dyDescent="0.25">
      <c r="A17" t="s">
        <v>1099</v>
      </c>
      <c r="C17" s="276"/>
    </row>
    <row r="18" spans="1:7" x14ac:dyDescent="0.25">
      <c r="C18" s="275">
        <v>2169051.4700000002</v>
      </c>
      <c r="D18" s="189">
        <v>2299135.37</v>
      </c>
      <c r="E18" s="189">
        <v>2431168.98</v>
      </c>
      <c r="F18" s="189">
        <v>2498169.12</v>
      </c>
      <c r="G18" s="189">
        <v>9397524.9399999995</v>
      </c>
    </row>
    <row r="19" spans="1:7" x14ac:dyDescent="0.25">
      <c r="C19" s="276"/>
    </row>
    <row r="20" spans="1:7" x14ac:dyDescent="0.25">
      <c r="A20" s="277"/>
      <c r="B20" s="278" t="s">
        <v>1206</v>
      </c>
      <c r="C20" s="279">
        <f>SUM(C8:C19)</f>
        <v>38498040.959999993</v>
      </c>
      <c r="D20" s="279">
        <f t="shared" ref="D20:G20" si="0">SUM(D8:D19)</f>
        <v>40366094.68</v>
      </c>
      <c r="E20" s="279">
        <f t="shared" si="0"/>
        <v>44365725.269999996</v>
      </c>
      <c r="F20" s="279">
        <f t="shared" si="0"/>
        <v>48904903.299999997</v>
      </c>
      <c r="G20" s="279">
        <f t="shared" si="0"/>
        <v>172134764.20999998</v>
      </c>
    </row>
    <row r="21" spans="1:7" x14ac:dyDescent="0.25">
      <c r="C21" s="276"/>
      <c r="D21" s="276"/>
      <c r="E21" s="276"/>
      <c r="F21" s="276"/>
      <c r="G21" s="276"/>
    </row>
    <row r="22" spans="1:7" x14ac:dyDescent="0.25">
      <c r="A22" s="277"/>
      <c r="B22" s="280" t="s">
        <v>1207</v>
      </c>
      <c r="C22" s="281">
        <f>C24-C20</f>
        <v>1112580.5600000098</v>
      </c>
      <c r="D22" s="281">
        <f t="shared" ref="D22:G22" si="1">D24-D20</f>
        <v>2901492.0399999991</v>
      </c>
      <c r="E22" s="281">
        <f t="shared" si="1"/>
        <v>2264329.8700000048</v>
      </c>
      <c r="F22" s="281">
        <f t="shared" si="1"/>
        <v>154576.88000000268</v>
      </c>
      <c r="G22" s="281">
        <f t="shared" si="1"/>
        <v>6432979.3500000238</v>
      </c>
    </row>
    <row r="23" spans="1:7" x14ac:dyDescent="0.25">
      <c r="B23" s="198"/>
      <c r="C23" s="282"/>
      <c r="D23" s="282"/>
      <c r="E23" s="282"/>
      <c r="F23" s="282"/>
      <c r="G23" s="282"/>
    </row>
    <row r="24" spans="1:7" s="43" customFormat="1" x14ac:dyDescent="0.25">
      <c r="A24" s="283"/>
      <c r="B24" s="278" t="s">
        <v>1208</v>
      </c>
      <c r="C24" s="284">
        <f>39610621.52</f>
        <v>39610621.520000003</v>
      </c>
      <c r="D24" s="284">
        <v>43267586.719999999</v>
      </c>
      <c r="E24" s="284">
        <v>46630055.140000001</v>
      </c>
      <c r="F24" s="284">
        <f>49059480.18</f>
        <v>49059480.18</v>
      </c>
      <c r="G24" s="285">
        <f>SUM(C24:F24)</f>
        <v>178567743.56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scale="8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1183-3646-4F15-9E06-1F764216AE4C}">
  <dimension ref="A1:J34"/>
  <sheetViews>
    <sheetView view="pageBreakPreview" zoomScale="60" zoomScaleNormal="100" workbookViewId="0">
      <selection activeCell="I28" sqref="I28"/>
    </sheetView>
  </sheetViews>
  <sheetFormatPr defaultRowHeight="15" x14ac:dyDescent="0.25"/>
  <cols>
    <col min="3" max="7" width="14.7109375" bestFit="1" customWidth="1"/>
  </cols>
  <sheetData>
    <row r="1" spans="1:10" x14ac:dyDescent="0.25">
      <c r="A1" s="305" t="s">
        <v>1212</v>
      </c>
      <c r="B1" s="305"/>
      <c r="C1" s="305"/>
      <c r="D1" s="305"/>
      <c r="E1" s="305"/>
      <c r="F1" s="305"/>
      <c r="G1" s="305"/>
      <c r="H1" s="305"/>
      <c r="I1" s="305"/>
      <c r="J1" s="287"/>
    </row>
    <row r="2" spans="1:10" x14ac:dyDescent="0.25">
      <c r="C2" s="43" t="s">
        <v>1205</v>
      </c>
    </row>
    <row r="3" spans="1:10" x14ac:dyDescent="0.25">
      <c r="B3" t="s">
        <v>1210</v>
      </c>
    </row>
    <row r="4" spans="1:10" s="77" customFormat="1" ht="8.25" x14ac:dyDescent="0.15"/>
    <row r="5" spans="1:10" x14ac:dyDescent="0.25">
      <c r="A5" t="s">
        <v>1094</v>
      </c>
    </row>
    <row r="6" spans="1:10" x14ac:dyDescent="0.25">
      <c r="C6" s="189">
        <v>13393213.189999999</v>
      </c>
      <c r="D6" s="189">
        <v>13526251.550000001</v>
      </c>
      <c r="E6" s="189">
        <v>14993397.880000001</v>
      </c>
      <c r="F6" s="189">
        <v>16283496.869999999</v>
      </c>
      <c r="G6" s="189">
        <v>58196359.490000002</v>
      </c>
    </row>
    <row r="7" spans="1:10" x14ac:dyDescent="0.25">
      <c r="A7" s="41" t="s">
        <v>1108</v>
      </c>
    </row>
    <row r="8" spans="1:10" x14ac:dyDescent="0.25">
      <c r="C8" s="189">
        <v>407763.24</v>
      </c>
      <c r="D8" s="189">
        <v>338365.15</v>
      </c>
      <c r="E8" s="189">
        <v>350024.8</v>
      </c>
      <c r="F8" s="189">
        <v>372678.35</v>
      </c>
      <c r="G8" s="189">
        <v>1468831.54</v>
      </c>
    </row>
    <row r="9" spans="1:10" x14ac:dyDescent="0.25">
      <c r="A9" t="s">
        <v>1109</v>
      </c>
    </row>
    <row r="10" spans="1:10" x14ac:dyDescent="0.25">
      <c r="C10" s="189">
        <v>83492.12</v>
      </c>
      <c r="D10" s="189">
        <v>71678.7</v>
      </c>
      <c r="E10" s="189">
        <v>73776.58</v>
      </c>
      <c r="F10" s="189">
        <v>72262.710000000006</v>
      </c>
      <c r="G10" s="189">
        <v>301210.11</v>
      </c>
    </row>
    <row r="11" spans="1:10" x14ac:dyDescent="0.25">
      <c r="A11" s="41" t="s">
        <v>1110</v>
      </c>
    </row>
    <row r="12" spans="1:10" x14ac:dyDescent="0.25">
      <c r="C12" s="189">
        <v>526998.13</v>
      </c>
      <c r="D12" s="189">
        <v>430183.98</v>
      </c>
      <c r="E12" s="189">
        <v>420913.15</v>
      </c>
      <c r="F12" s="189">
        <v>462056.45</v>
      </c>
      <c r="G12" s="189">
        <v>1840151.71</v>
      </c>
    </row>
    <row r="13" spans="1:10" x14ac:dyDescent="0.25">
      <c r="A13" t="s">
        <v>1111</v>
      </c>
    </row>
    <row r="14" spans="1:10" x14ac:dyDescent="0.25">
      <c r="C14" s="189">
        <v>123574.42</v>
      </c>
      <c r="D14" s="189">
        <v>101691.99</v>
      </c>
      <c r="E14" s="189">
        <v>107384.82</v>
      </c>
      <c r="F14" s="189">
        <v>115498.05</v>
      </c>
      <c r="G14" s="189">
        <v>448149.28</v>
      </c>
    </row>
    <row r="15" spans="1:10" x14ac:dyDescent="0.25">
      <c r="A15" t="s">
        <v>1112</v>
      </c>
    </row>
    <row r="16" spans="1:10" x14ac:dyDescent="0.25">
      <c r="C16" s="189">
        <v>165443.76</v>
      </c>
      <c r="D16" s="189">
        <v>132687.69</v>
      </c>
      <c r="E16" s="189">
        <v>128917.9</v>
      </c>
      <c r="F16" s="189">
        <v>147518.79999999999</v>
      </c>
      <c r="G16" s="189">
        <v>574568.15</v>
      </c>
    </row>
    <row r="17" spans="1:7" x14ac:dyDescent="0.25">
      <c r="A17" t="s">
        <v>1113</v>
      </c>
    </row>
    <row r="18" spans="1:7" x14ac:dyDescent="0.25">
      <c r="C18" s="189">
        <v>4318587.5</v>
      </c>
      <c r="D18" s="189">
        <v>3522245.94</v>
      </c>
      <c r="E18" s="189">
        <v>4187725.11</v>
      </c>
      <c r="F18" s="189">
        <v>4069339.9</v>
      </c>
      <c r="G18" s="189">
        <v>16097898.449999999</v>
      </c>
    </row>
    <row r="19" spans="1:7" x14ac:dyDescent="0.25">
      <c r="A19" t="s">
        <v>1114</v>
      </c>
    </row>
    <row r="20" spans="1:7" x14ac:dyDescent="0.25">
      <c r="C20" s="189">
        <v>728956.54</v>
      </c>
      <c r="D20" s="189">
        <v>475722.95</v>
      </c>
      <c r="E20" s="189">
        <v>596569.21</v>
      </c>
      <c r="F20" s="189">
        <v>606216.5</v>
      </c>
      <c r="G20" s="189">
        <v>2407465.2000000002</v>
      </c>
    </row>
    <row r="21" spans="1:7" x14ac:dyDescent="0.25">
      <c r="A21" t="s">
        <v>1115</v>
      </c>
    </row>
    <row r="22" spans="1:7" x14ac:dyDescent="0.25">
      <c r="C22" s="189">
        <v>193352.25</v>
      </c>
      <c r="D22" s="189">
        <v>181825.28</v>
      </c>
      <c r="E22" s="189">
        <v>202229.15</v>
      </c>
      <c r="F22" s="189">
        <v>212216.33</v>
      </c>
      <c r="G22" s="189">
        <v>789623.01</v>
      </c>
    </row>
    <row r="23" spans="1:7" x14ac:dyDescent="0.25">
      <c r="A23" t="s">
        <v>1116</v>
      </c>
    </row>
    <row r="24" spans="1:7" x14ac:dyDescent="0.25">
      <c r="C24" s="189">
        <v>295513.12</v>
      </c>
      <c r="D24" s="189">
        <v>301905.71999999997</v>
      </c>
      <c r="E24" s="189">
        <v>329492.25</v>
      </c>
      <c r="F24" s="189">
        <v>364826.44</v>
      </c>
      <c r="G24" s="189">
        <v>1291737.53</v>
      </c>
    </row>
    <row r="25" spans="1:7" x14ac:dyDescent="0.25">
      <c r="A25" t="s">
        <v>1117</v>
      </c>
    </row>
    <row r="26" spans="1:7" x14ac:dyDescent="0.25">
      <c r="C26" s="189">
        <v>155502.22</v>
      </c>
      <c r="D26" s="189">
        <v>155219.17000000001</v>
      </c>
      <c r="E26" s="189">
        <v>121883.11</v>
      </c>
      <c r="F26" s="189">
        <v>110682.84</v>
      </c>
      <c r="G26" s="189">
        <v>543287.34</v>
      </c>
    </row>
    <row r="27" spans="1:7" x14ac:dyDescent="0.25">
      <c r="A27" t="s">
        <v>1118</v>
      </c>
    </row>
    <row r="28" spans="1:7" x14ac:dyDescent="0.25">
      <c r="C28" s="189">
        <v>155502.22</v>
      </c>
      <c r="D28" s="189">
        <v>155219.17000000001</v>
      </c>
      <c r="E28" s="189">
        <v>121883.11</v>
      </c>
      <c r="F28" s="189">
        <v>110682.84</v>
      </c>
      <c r="G28" s="189">
        <v>543287.34</v>
      </c>
    </row>
    <row r="29" spans="1:7" s="77" customFormat="1" ht="8.25" x14ac:dyDescent="0.15"/>
    <row r="30" spans="1:7" x14ac:dyDescent="0.25">
      <c r="A30" s="277"/>
      <c r="B30" s="278" t="s">
        <v>1206</v>
      </c>
      <c r="C30" s="286">
        <f>SUM(C6:C29)</f>
        <v>20547898.709999997</v>
      </c>
      <c r="D30" s="286">
        <f t="shared" ref="D30:G30" si="0">SUM(D6:D29)</f>
        <v>19392997.290000003</v>
      </c>
      <c r="E30" s="286">
        <f t="shared" si="0"/>
        <v>21634197.07</v>
      </c>
      <c r="F30" s="286">
        <f t="shared" si="0"/>
        <v>22927476.079999998</v>
      </c>
      <c r="G30" s="286">
        <f t="shared" si="0"/>
        <v>84502569.150000021</v>
      </c>
    </row>
    <row r="31" spans="1:7" s="77" customFormat="1" ht="8.25" x14ac:dyDescent="0.15"/>
    <row r="32" spans="1:7" x14ac:dyDescent="0.25">
      <c r="A32" s="277"/>
      <c r="B32" s="280" t="s">
        <v>1207</v>
      </c>
      <c r="C32" s="281">
        <f>C34-C30</f>
        <v>8297689.8400000036</v>
      </c>
      <c r="D32" s="281">
        <f t="shared" ref="D32:G32" si="1">D34-D30</f>
        <v>12267952.389999997</v>
      </c>
      <c r="E32" s="281">
        <f t="shared" si="1"/>
        <v>12492407.439999998</v>
      </c>
      <c r="F32" s="281">
        <f t="shared" si="1"/>
        <v>14610582.300000004</v>
      </c>
      <c r="G32" s="281">
        <f t="shared" si="1"/>
        <v>47668631.969999984</v>
      </c>
    </row>
    <row r="33" spans="1:7" s="77" customFormat="1" ht="8.25" x14ac:dyDescent="0.15">
      <c r="B33" s="133"/>
    </row>
    <row r="34" spans="1:7" x14ac:dyDescent="0.25">
      <c r="A34" s="283"/>
      <c r="B34" s="278" t="s">
        <v>1211</v>
      </c>
      <c r="C34" s="279">
        <v>28845588.550000001</v>
      </c>
      <c r="D34" s="279">
        <v>31660949.68</v>
      </c>
      <c r="E34" s="279">
        <v>34126604.509999998</v>
      </c>
      <c r="F34" s="279">
        <v>37538058.380000003</v>
      </c>
      <c r="G34" s="279">
        <f>SUM(C34:F34)</f>
        <v>132171201.12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scale="8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EC7A-8066-4F9A-9012-5C060D3AEFEB}">
  <dimension ref="A1:L16"/>
  <sheetViews>
    <sheetView workbookViewId="0">
      <selection activeCell="A2" sqref="A2"/>
    </sheetView>
  </sheetViews>
  <sheetFormatPr defaultRowHeight="15" x14ac:dyDescent="0.25"/>
  <cols>
    <col min="3" max="6" width="12.5703125" bestFit="1" customWidth="1"/>
    <col min="7" max="7" width="13.7109375" bestFit="1" customWidth="1"/>
  </cols>
  <sheetData>
    <row r="1" spans="1:12" x14ac:dyDescent="0.25">
      <c r="A1" s="289" t="s">
        <v>1219</v>
      </c>
      <c r="B1" s="288"/>
      <c r="C1" s="288"/>
      <c r="D1" s="288"/>
      <c r="E1" s="288"/>
      <c r="F1" s="288"/>
      <c r="G1" s="288"/>
      <c r="H1" s="288"/>
      <c r="I1" s="288"/>
      <c r="J1" s="288"/>
      <c r="K1" s="234"/>
      <c r="L1" s="234"/>
    </row>
    <row r="2" spans="1:12" x14ac:dyDescent="0.25">
      <c r="A2" s="289" t="s">
        <v>1220</v>
      </c>
    </row>
    <row r="3" spans="1:12" x14ac:dyDescent="0.25">
      <c r="D3" s="43" t="s">
        <v>1205</v>
      </c>
    </row>
    <row r="4" spans="1:12" x14ac:dyDescent="0.25">
      <c r="A4" t="s">
        <v>1217</v>
      </c>
    </row>
    <row r="5" spans="1:12" x14ac:dyDescent="0.25">
      <c r="A5" t="s">
        <v>1218</v>
      </c>
    </row>
    <row r="7" spans="1:12" x14ac:dyDescent="0.25">
      <c r="A7" t="s">
        <v>1101</v>
      </c>
    </row>
    <row r="8" spans="1:12" x14ac:dyDescent="0.25">
      <c r="C8" s="189">
        <v>587135.18000000005</v>
      </c>
      <c r="D8" s="189">
        <v>503791</v>
      </c>
      <c r="E8" s="189">
        <v>628335.35</v>
      </c>
      <c r="F8" s="189">
        <v>626214.57999999996</v>
      </c>
      <c r="G8" s="189">
        <v>2345476.11</v>
      </c>
    </row>
    <row r="9" spans="1:12" x14ac:dyDescent="0.25">
      <c r="A9" t="s">
        <v>1102</v>
      </c>
    </row>
    <row r="10" spans="1:12" x14ac:dyDescent="0.25">
      <c r="C10" s="189">
        <v>78309.789999999994</v>
      </c>
      <c r="D10" s="189">
        <v>69121.919999999998</v>
      </c>
      <c r="E10" s="189">
        <v>62793.14</v>
      </c>
      <c r="F10" s="189">
        <v>74349.289999999994</v>
      </c>
      <c r="G10" s="189">
        <v>284574.14</v>
      </c>
    </row>
    <row r="12" spans="1:12" x14ac:dyDescent="0.25">
      <c r="A12" s="277"/>
      <c r="B12" s="278" t="s">
        <v>1206</v>
      </c>
      <c r="C12" s="286">
        <f>SUM(C8:C11)</f>
        <v>665444.97000000009</v>
      </c>
      <c r="D12" s="286">
        <f t="shared" ref="D12:G12" si="0">SUM(D8:D11)</f>
        <v>572912.92000000004</v>
      </c>
      <c r="E12" s="286">
        <f t="shared" si="0"/>
        <v>691128.49</v>
      </c>
      <c r="F12" s="286">
        <f t="shared" si="0"/>
        <v>700563.87</v>
      </c>
      <c r="G12" s="286">
        <f t="shared" si="0"/>
        <v>2630050.25</v>
      </c>
    </row>
    <row r="13" spans="1:12" s="77" customFormat="1" ht="8.25" x14ac:dyDescent="0.15"/>
    <row r="14" spans="1:12" x14ac:dyDescent="0.25">
      <c r="A14" s="277"/>
      <c r="B14" s="280" t="s">
        <v>1207</v>
      </c>
      <c r="C14" s="281">
        <f>C16-C12</f>
        <v>3529546.97</v>
      </c>
      <c r="D14" s="281">
        <f t="shared" ref="D14:G14" si="1">D16-D12</f>
        <v>3996333.1500000004</v>
      </c>
      <c r="E14" s="281">
        <f t="shared" si="1"/>
        <v>4206586.5299999993</v>
      </c>
      <c r="F14" s="281">
        <f t="shared" si="1"/>
        <v>4669044.46</v>
      </c>
      <c r="G14" s="281">
        <f t="shared" si="1"/>
        <v>16401511.109999999</v>
      </c>
    </row>
    <row r="15" spans="1:12" s="77" customFormat="1" ht="8.25" x14ac:dyDescent="0.15">
      <c r="B15" s="133"/>
    </row>
    <row r="16" spans="1:12" x14ac:dyDescent="0.25">
      <c r="A16" s="283"/>
      <c r="B16" s="278" t="s">
        <v>1208</v>
      </c>
      <c r="C16" s="279">
        <v>4194991.9400000004</v>
      </c>
      <c r="D16" s="279">
        <v>4569246.07</v>
      </c>
      <c r="E16" s="279">
        <v>4897715.0199999996</v>
      </c>
      <c r="F16" s="279">
        <v>5369608.3300000001</v>
      </c>
      <c r="G16" s="279">
        <f>SUM(C16:F16)</f>
        <v>19031561.359999999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4"/>
  <sheetViews>
    <sheetView view="pageBreakPreview" topLeftCell="A19" zoomScale="60" zoomScaleNormal="136" workbookViewId="0">
      <selection activeCell="M64" sqref="A1:M64"/>
    </sheetView>
  </sheetViews>
  <sheetFormatPr defaultRowHeight="15" x14ac:dyDescent="0.25"/>
  <cols>
    <col min="1" max="1" width="8.7109375" customWidth="1"/>
    <col min="4" max="4" width="9.28515625" bestFit="1" customWidth="1"/>
    <col min="8" max="10" width="11.42578125" bestFit="1" customWidth="1"/>
    <col min="11" max="11" width="11.5703125" bestFit="1" customWidth="1"/>
    <col min="12" max="12" width="11.28515625" bestFit="1" customWidth="1"/>
    <col min="13" max="13" width="11.42578125" bestFit="1" customWidth="1"/>
    <col min="14" max="14" width="11.28515625" bestFit="1" customWidth="1"/>
    <col min="15" max="15" width="11.42578125" bestFit="1" customWidth="1"/>
    <col min="16" max="16" width="12.28515625" bestFit="1" customWidth="1"/>
  </cols>
  <sheetData>
    <row r="1" spans="1:13" x14ac:dyDescent="0.25">
      <c r="A1" s="235" t="s">
        <v>1146</v>
      </c>
    </row>
    <row r="3" spans="1:13" s="46" customFormat="1" ht="8.25" x14ac:dyDescent="0.15">
      <c r="A3" s="46" t="s">
        <v>108</v>
      </c>
      <c r="H3" s="46" t="s">
        <v>106</v>
      </c>
      <c r="I3" s="47">
        <v>3.5999999999999997E-2</v>
      </c>
      <c r="J3" s="47">
        <v>3.2500000000000001E-2</v>
      </c>
      <c r="K3" s="47">
        <v>3.2500000000000001E-2</v>
      </c>
      <c r="L3" s="47">
        <v>3.2500000000000001E-2</v>
      </c>
    </row>
    <row r="4" spans="1:13" s="46" customFormat="1" ht="8.25" x14ac:dyDescent="0.15">
      <c r="H4" s="46" t="s">
        <v>107</v>
      </c>
      <c r="I4" s="47">
        <v>2.3400000000000001E-2</v>
      </c>
      <c r="J4" s="47">
        <v>2.5000000000000001E-2</v>
      </c>
      <c r="K4" s="47">
        <v>2.5000000000000001E-2</v>
      </c>
      <c r="L4" s="47">
        <v>3.5000000000000003E-2</v>
      </c>
    </row>
    <row r="5" spans="1:13" s="41" customFormat="1" ht="11.25" x14ac:dyDescent="0.2">
      <c r="B5" s="41" t="s">
        <v>578</v>
      </c>
      <c r="I5" s="135">
        <v>0.4</v>
      </c>
      <c r="J5" s="135">
        <v>0.5</v>
      </c>
      <c r="K5" s="136">
        <v>0.58499999999999996</v>
      </c>
      <c r="L5" s="136">
        <v>0.5675</v>
      </c>
    </row>
    <row r="6" spans="1:13" s="46" customFormat="1" ht="8.25" x14ac:dyDescent="0.15">
      <c r="B6" s="48" t="s">
        <v>577</v>
      </c>
      <c r="C6" s="48"/>
      <c r="D6" s="49">
        <v>2017</v>
      </c>
      <c r="E6" s="49">
        <v>2018</v>
      </c>
      <c r="F6" s="49">
        <v>2019</v>
      </c>
      <c r="G6" s="49">
        <v>2020</v>
      </c>
      <c r="H6" s="49">
        <v>2021</v>
      </c>
      <c r="I6" s="49">
        <v>2022</v>
      </c>
      <c r="J6" s="49">
        <v>2023</v>
      </c>
      <c r="K6" s="49">
        <v>2024</v>
      </c>
      <c r="L6" s="49">
        <v>2025</v>
      </c>
      <c r="M6" s="48" t="s">
        <v>90</v>
      </c>
    </row>
    <row r="7" spans="1:13" s="46" customFormat="1" ht="8.25" x14ac:dyDescent="0.15">
      <c r="A7" s="34" t="s">
        <v>75</v>
      </c>
      <c r="B7" s="35" t="s">
        <v>47</v>
      </c>
      <c r="C7" s="35"/>
      <c r="D7" s="35" t="s">
        <v>70</v>
      </c>
      <c r="E7" s="35" t="s">
        <v>70</v>
      </c>
      <c r="F7" s="35" t="s">
        <v>70</v>
      </c>
      <c r="G7" s="35" t="s">
        <v>70</v>
      </c>
      <c r="H7" s="44" t="s">
        <v>136</v>
      </c>
      <c r="I7" s="36" t="s">
        <v>89</v>
      </c>
      <c r="J7" s="36" t="s">
        <v>89</v>
      </c>
      <c r="K7" s="36" t="s">
        <v>89</v>
      </c>
      <c r="L7" s="36" t="s">
        <v>89</v>
      </c>
      <c r="M7" s="50" t="s">
        <v>91</v>
      </c>
    </row>
    <row r="8" spans="1:13" s="46" customFormat="1" ht="8.25" x14ac:dyDescent="0.15">
      <c r="A8" s="34" t="s">
        <v>589</v>
      </c>
      <c r="B8" s="129" t="s">
        <v>557</v>
      </c>
      <c r="C8" s="35"/>
      <c r="D8" s="130">
        <v>3292401.59</v>
      </c>
      <c r="E8" s="130">
        <f>3476382.05</f>
        <v>3476382.05</v>
      </c>
      <c r="F8" s="130">
        <v>3578318.42</v>
      </c>
      <c r="G8" s="130">
        <f>3790215.15</f>
        <v>3790215.15</v>
      </c>
      <c r="H8" s="131">
        <f>289470.37*13</f>
        <v>3763114.81</v>
      </c>
      <c r="I8" s="132">
        <f>((289470.37*13)*((1+I3)*(1+I4)))</f>
        <v>3989813.8776299446</v>
      </c>
      <c r="J8" s="132">
        <f>((289470.37*13)*((1+J3)*(1+J4)))</f>
        <v>3982551.442358125</v>
      </c>
      <c r="K8" s="132">
        <f t="shared" ref="K8:L8" si="0">((289470.37*13)*((1+K3)*(1+K4)))</f>
        <v>3982551.442358125</v>
      </c>
      <c r="L8" s="132">
        <f t="shared" si="0"/>
        <v>4021405.6027713749</v>
      </c>
      <c r="M8" s="52">
        <f t="shared" ref="M8:M10" si="1">SUM(I8:L8)</f>
        <v>15976322.36511757</v>
      </c>
    </row>
    <row r="9" spans="1:13" s="46" customFormat="1" ht="8.25" x14ac:dyDescent="0.15">
      <c r="A9" s="34" t="s">
        <v>590</v>
      </c>
      <c r="B9" s="129" t="s">
        <v>558</v>
      </c>
      <c r="C9" s="35"/>
      <c r="D9" s="130">
        <v>9553.66</v>
      </c>
      <c r="E9" s="130">
        <v>10435.200000000001</v>
      </c>
      <c r="F9" s="130">
        <v>11664.97</v>
      </c>
      <c r="G9" s="130">
        <v>185272.45</v>
      </c>
      <c r="H9" s="131">
        <f>88371.47*13</f>
        <v>1148829.1100000001</v>
      </c>
      <c r="I9" s="132">
        <f>((88371.47*13)*((1+I3)*(1+I4)))</f>
        <v>1218037.3327762643</v>
      </c>
      <c r="J9" s="132">
        <f t="shared" ref="J9:L9" si="2">((88371.47*13)*((1+J3)*(1+J4)))</f>
        <v>1215820.207476875</v>
      </c>
      <c r="K9" s="132">
        <f t="shared" si="2"/>
        <v>1215820.207476875</v>
      </c>
      <c r="L9" s="132">
        <f t="shared" si="2"/>
        <v>1227681.868037625</v>
      </c>
      <c r="M9" s="52">
        <f t="shared" si="1"/>
        <v>4877359.6157676391</v>
      </c>
    </row>
    <row r="10" spans="1:13" s="46" customFormat="1" ht="8.25" x14ac:dyDescent="0.15">
      <c r="A10" s="34" t="s">
        <v>591</v>
      </c>
      <c r="B10" s="129" t="s">
        <v>559</v>
      </c>
      <c r="C10" s="35"/>
      <c r="D10" s="130">
        <v>3946.79</v>
      </c>
      <c r="E10" s="130">
        <f>4288.8</f>
        <v>4288.8</v>
      </c>
      <c r="F10" s="130">
        <f>5489.38</f>
        <v>5489.38</v>
      </c>
      <c r="G10" s="130">
        <v>14815.33</v>
      </c>
      <c r="H10" s="131">
        <f>5398.89*13</f>
        <v>70185.570000000007</v>
      </c>
      <c r="I10" s="132">
        <f>(5398.89*((1+I3)*(1+I4)))*13</f>
        <v>74413.717182168009</v>
      </c>
      <c r="J10" s="132">
        <f t="shared" ref="J10:L10" si="3">(5398.89*((1+J3)*(1+J4)))*13</f>
        <v>74278.26605062501</v>
      </c>
      <c r="K10" s="132">
        <f t="shared" si="3"/>
        <v>74278.26605062501</v>
      </c>
      <c r="L10" s="132">
        <f t="shared" si="3"/>
        <v>75002.932060874999</v>
      </c>
      <c r="M10" s="52">
        <f t="shared" si="1"/>
        <v>297973.18134429306</v>
      </c>
    </row>
    <row r="11" spans="1:13" s="46" customFormat="1" ht="8.25" x14ac:dyDescent="0.15">
      <c r="A11" s="34" t="s">
        <v>592</v>
      </c>
      <c r="B11" s="129" t="s">
        <v>556</v>
      </c>
      <c r="C11" s="35"/>
      <c r="D11" s="130">
        <v>6333.23</v>
      </c>
      <c r="E11" s="130">
        <f>4457.4</f>
        <v>4457.3999999999996</v>
      </c>
      <c r="F11" s="130">
        <f>14785.9</f>
        <v>14785.9</v>
      </c>
      <c r="G11" s="130">
        <v>18682.14</v>
      </c>
      <c r="H11" s="131"/>
      <c r="I11" s="52">
        <f>(SUM(D11:G11)/3)*((1+I3)*(1+I4))</f>
        <v>15641.639500536001</v>
      </c>
      <c r="J11" s="52">
        <f t="shared" ref="J11:L11" si="4">(SUM(E11:H11)/3)*((1+J3)*(1+J4))</f>
        <v>13378.989073333334</v>
      </c>
      <c r="K11" s="52">
        <f t="shared" si="4"/>
        <v>17324.462562137003</v>
      </c>
      <c r="L11" s="52">
        <f t="shared" si="4"/>
        <v>16992.322450619431</v>
      </c>
      <c r="M11" s="52">
        <f>SUM(I11:L11)</f>
        <v>63337.413586625764</v>
      </c>
    </row>
    <row r="12" spans="1:13" s="46" customFormat="1" ht="8.25" x14ac:dyDescent="0.15">
      <c r="A12" s="55" t="s">
        <v>593</v>
      </c>
      <c r="B12" s="56" t="s">
        <v>131</v>
      </c>
      <c r="C12" s="56"/>
      <c r="D12" s="37">
        <f>3649919.21</f>
        <v>3649919.21</v>
      </c>
      <c r="E12" s="37">
        <f>3073050.81</f>
        <v>3073050.81</v>
      </c>
      <c r="F12" s="37">
        <v>4607175.1100000003</v>
      </c>
      <c r="G12" s="37">
        <v>2429706.77</v>
      </c>
      <c r="H12" s="51"/>
      <c r="I12" s="52">
        <f>(SUM(D12:G12)/3)*((1+I3)*(1+I4))</f>
        <v>4862926.1340335207</v>
      </c>
      <c r="J12" s="52">
        <f t="shared" ref="J12:L12" si="5">(SUM(E12:H12)/3)*((1+J3)*(1+J4))</f>
        <v>3566489.3799952078</v>
      </c>
      <c r="K12" s="52">
        <f t="shared" si="5"/>
        <v>4197905.1896172836</v>
      </c>
      <c r="L12" s="52">
        <f t="shared" si="5"/>
        <v>3868155.0965995835</v>
      </c>
      <c r="M12" s="52">
        <f t="shared" ref="M12" si="6">SUM(I12:L12)</f>
        <v>16495475.800245594</v>
      </c>
    </row>
    <row r="13" spans="1:13" s="46" customFormat="1" ht="8.25" x14ac:dyDescent="0.15">
      <c r="A13" s="55" t="s">
        <v>595</v>
      </c>
      <c r="B13" s="96" t="s">
        <v>567</v>
      </c>
      <c r="C13" s="56"/>
      <c r="D13" s="37"/>
      <c r="E13" s="37"/>
      <c r="F13" s="37"/>
      <c r="G13" s="108">
        <f>7946.26</f>
        <v>7946.26</v>
      </c>
      <c r="H13" s="52"/>
      <c r="I13" s="52">
        <f>(SUM(D13:G13)/3)*((1+I3)*(1+I4))</f>
        <v>2808.3205911413338</v>
      </c>
      <c r="J13" s="52">
        <f t="shared" ref="J13" si="7">(SUM(E13:H13)/3)*((1+J4)*(1+J5))</f>
        <v>4072.4582500000001</v>
      </c>
      <c r="K13" s="52">
        <f t="shared" ref="K13" si="8">(SUM(F13:I13)/3)*((1+K4)*(1+K5))</f>
        <v>5824.0534976276622</v>
      </c>
      <c r="L13" s="52">
        <f t="shared" ref="L13" si="9">(SUM(G13:J13)/3)*((1+L4)*(1+L5))</f>
        <v>8018.2772673037171</v>
      </c>
      <c r="M13" s="52">
        <f t="shared" ref="M13:M14" si="10">SUM(I13:L13)</f>
        <v>20723.109606072714</v>
      </c>
    </row>
    <row r="14" spans="1:13" s="77" customFormat="1" ht="8.25" x14ac:dyDescent="0.15">
      <c r="A14" s="96" t="s">
        <v>594</v>
      </c>
      <c r="B14" s="96" t="s">
        <v>570</v>
      </c>
      <c r="C14" s="96"/>
      <c r="D14" s="96"/>
      <c r="E14" s="96"/>
      <c r="F14" s="96"/>
      <c r="G14" s="100">
        <v>3564553.49</v>
      </c>
      <c r="H14" s="96"/>
      <c r="I14" s="52">
        <f>(SUM(D14:G14)/3)*((1+I3)*(1+I4))</f>
        <v>1259763.582388659</v>
      </c>
      <c r="J14" s="52">
        <f t="shared" ref="J14:K14" si="11">(SUM(E14:H14)/3)*((1+J3)*(1+J4))</f>
        <v>1257470.5051285417</v>
      </c>
      <c r="K14" s="52">
        <f t="shared" si="11"/>
        <v>1701878.3538907743</v>
      </c>
      <c r="L14" s="52">
        <f>(SUM(G14:J14)/3)*((1+L3)*(1+L4))</f>
        <v>2166408.7574563459</v>
      </c>
      <c r="M14" s="52">
        <f t="shared" si="10"/>
        <v>6385521.1988643203</v>
      </c>
    </row>
    <row r="15" spans="1:13" s="77" customFormat="1" ht="8.25" x14ac:dyDescent="0.15"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s="77" customFormat="1" ht="8.25" x14ac:dyDescent="0.15">
      <c r="A16" s="96" t="s">
        <v>596</v>
      </c>
      <c r="B16" s="129" t="s">
        <v>556</v>
      </c>
      <c r="C16" s="96"/>
      <c r="D16" s="108">
        <v>2747308.8</v>
      </c>
      <c r="E16" s="108">
        <f>4108470.73</f>
        <v>4108470.73</v>
      </c>
      <c r="F16" s="108">
        <f>4724389.17</f>
        <v>4724389.17</v>
      </c>
      <c r="G16" s="108">
        <f>3275886.21</f>
        <v>3275886.21</v>
      </c>
      <c r="H16" s="134">
        <f>479407.59*13</f>
        <v>6232298.6699999999</v>
      </c>
      <c r="I16" s="108">
        <f>(479407.59*((1+I3)*(1+I4))*13)</f>
        <v>6607747.2993976092</v>
      </c>
      <c r="J16" s="108">
        <f t="shared" ref="J16:L16" si="12">(479407.59*((1+J3)*(1+J4))*13)</f>
        <v>6595719.5861943755</v>
      </c>
      <c r="K16" s="108">
        <f t="shared" si="12"/>
        <v>6595719.5861943755</v>
      </c>
      <c r="L16" s="108">
        <f t="shared" si="12"/>
        <v>6660068.0699621253</v>
      </c>
      <c r="M16" s="52">
        <f>SUM(I16:L16)</f>
        <v>26459254.541748483</v>
      </c>
    </row>
    <row r="17" spans="1:13" s="77" customFormat="1" ht="8.25" x14ac:dyDescent="0.15">
      <c r="A17" s="96" t="s">
        <v>597</v>
      </c>
      <c r="B17" s="129" t="s">
        <v>560</v>
      </c>
      <c r="C17" s="96"/>
      <c r="D17" s="108">
        <v>5833.85</v>
      </c>
      <c r="E17" s="108">
        <f>11882.63</f>
        <v>11882.63</v>
      </c>
      <c r="F17" s="108">
        <v>15893.17</v>
      </c>
      <c r="G17" s="108">
        <f>6808.3</f>
        <v>6808.3</v>
      </c>
      <c r="H17" s="134">
        <f>138013.88*13</f>
        <v>1794180.44</v>
      </c>
      <c r="I17" s="108">
        <f>(138013.88*((1+I3)*(1+I4))*13)</f>
        <v>1902266.1757386562</v>
      </c>
      <c r="J17" s="108">
        <f t="shared" ref="J17:L17" si="13">(138013.88*((1+J3)*(1+J4))*13)</f>
        <v>1898803.5869075002</v>
      </c>
      <c r="K17" s="108">
        <f t="shared" si="13"/>
        <v>1898803.5869075002</v>
      </c>
      <c r="L17" s="108">
        <f t="shared" si="13"/>
        <v>1917328.4999505</v>
      </c>
      <c r="M17" s="52">
        <f t="shared" ref="M17:M25" si="14">SUM(I17:L17)</f>
        <v>7617201.849504157</v>
      </c>
    </row>
    <row r="18" spans="1:13" s="77" customFormat="1" ht="8.25" x14ac:dyDescent="0.15">
      <c r="A18" s="96" t="s">
        <v>598</v>
      </c>
      <c r="B18" s="129" t="s">
        <v>561</v>
      </c>
      <c r="C18" s="96"/>
      <c r="D18" s="108">
        <v>2069.02</v>
      </c>
      <c r="E18" s="108">
        <f>5016.76</f>
        <v>5016.76</v>
      </c>
      <c r="F18" s="108">
        <v>6150.17</v>
      </c>
      <c r="G18" s="108">
        <f>2573.46</f>
        <v>2573.46</v>
      </c>
      <c r="H18" s="134">
        <f>7929.17*13</f>
        <v>103079.21</v>
      </c>
      <c r="I18" s="108">
        <f>((7929.17*((1+I3)*(1+I4)))*13)</f>
        <v>109288.94900050401</v>
      </c>
      <c r="J18" s="108">
        <f t="shared" ref="J18:L18" si="15">((7929.17*((1+J3)*(1+J4)))*13)</f>
        <v>109090.016433125</v>
      </c>
      <c r="K18" s="108">
        <f t="shared" si="15"/>
        <v>109090.016433125</v>
      </c>
      <c r="L18" s="108">
        <f t="shared" si="15"/>
        <v>110154.30927637499</v>
      </c>
      <c r="M18" s="52">
        <f t="shared" si="14"/>
        <v>437623.291143129</v>
      </c>
    </row>
    <row r="19" spans="1:13" s="77" customFormat="1" ht="8.25" x14ac:dyDescent="0.15">
      <c r="A19" s="96" t="s">
        <v>599</v>
      </c>
      <c r="B19" s="96" t="s">
        <v>562</v>
      </c>
      <c r="C19" s="96"/>
      <c r="D19" s="108">
        <v>1444966.42</v>
      </c>
      <c r="E19" s="108">
        <f>931765.69</f>
        <v>931765.69</v>
      </c>
      <c r="F19" s="108">
        <f>732330.12+1548.04+568.92</f>
        <v>734447.08000000007</v>
      </c>
      <c r="G19" s="108"/>
      <c r="H19" s="134"/>
      <c r="I19" s="52">
        <f>(SUM(D19:G19)/3)*((1+I3)*(1+I4))</f>
        <v>1099534.6970785521</v>
      </c>
      <c r="J19" s="52">
        <f t="shared" ref="J19:L19" si="16">(SUM(E19:H19)/3)*((1+J3)*(1+J4))</f>
        <v>587791.26738354168</v>
      </c>
      <c r="K19" s="52">
        <f t="shared" si="16"/>
        <v>646975.27981814847</v>
      </c>
      <c r="L19" s="52">
        <f t="shared" si="16"/>
        <v>601046.60011595348</v>
      </c>
      <c r="M19" s="52">
        <f t="shared" si="14"/>
        <v>2935347.8443961958</v>
      </c>
    </row>
    <row r="20" spans="1:13" s="77" customFormat="1" ht="8.25" x14ac:dyDescent="0.15">
      <c r="B20" s="120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s="77" customFormat="1" ht="8.25" x14ac:dyDescent="0.15">
      <c r="A21" s="96" t="s">
        <v>600</v>
      </c>
      <c r="B21" s="129" t="s">
        <v>571</v>
      </c>
      <c r="C21" s="96"/>
      <c r="D21" s="108">
        <v>220136.04</v>
      </c>
      <c r="E21" s="108">
        <f>3776928.44</f>
        <v>3776928.44</v>
      </c>
      <c r="F21" s="108">
        <f>5180795.44</f>
        <v>5180795.4400000004</v>
      </c>
      <c r="G21" s="108">
        <f>5044994.6</f>
        <v>5044994.5999999996</v>
      </c>
      <c r="H21" s="134"/>
      <c r="I21" s="52">
        <f>(SUM(D21:G21)/3)*((1+I3)*(1+I4))</f>
        <v>5026557.8037118837</v>
      </c>
      <c r="J21" s="52">
        <f t="shared" ref="J21:L21" si="17">(SUM(E21:H21)/3)*((1+J3)*(1+J4))</f>
        <v>4939750.6671216674</v>
      </c>
      <c r="K21" s="52">
        <f t="shared" si="17"/>
        <v>5380583.4591161106</v>
      </c>
      <c r="L21" s="52">
        <f t="shared" si="17"/>
        <v>5347213.7951192958</v>
      </c>
      <c r="M21" s="52">
        <f t="shared" si="14"/>
        <v>20694105.725068957</v>
      </c>
    </row>
    <row r="22" spans="1:13" s="77" customFormat="1" ht="8.25" x14ac:dyDescent="0.15">
      <c r="A22" s="96"/>
      <c r="B22" s="96" t="s">
        <v>563</v>
      </c>
      <c r="C22" s="96"/>
      <c r="D22" s="108">
        <v>651732.92000000004</v>
      </c>
      <c r="E22" s="108">
        <f>246784.44</f>
        <v>246784.44</v>
      </c>
      <c r="F22" s="108"/>
      <c r="G22" s="108">
        <f>524928.05+2378.94+1515.83</f>
        <v>528822.81999999995</v>
      </c>
      <c r="H22" s="134"/>
      <c r="I22" s="108"/>
      <c r="J22" s="108"/>
      <c r="K22" s="108"/>
      <c r="L22" s="108"/>
      <c r="M22" s="52">
        <f t="shared" si="14"/>
        <v>0</v>
      </c>
    </row>
    <row r="23" spans="1:13" s="77" customFormat="1" ht="8.25" x14ac:dyDescent="0.15">
      <c r="A23" s="96" t="s">
        <v>601</v>
      </c>
      <c r="B23" s="96" t="s">
        <v>564</v>
      </c>
      <c r="C23" s="96"/>
      <c r="D23" s="108">
        <v>1522740.79</v>
      </c>
      <c r="E23" s="108">
        <f>192605.7</f>
        <v>192605.7</v>
      </c>
      <c r="F23" s="108">
        <f>692434.69</f>
        <v>692434.69</v>
      </c>
      <c r="G23" s="108">
        <f>675871.62</f>
        <v>675871.62</v>
      </c>
      <c r="H23" s="134">
        <f>(791413.8)*13</f>
        <v>10288379.4</v>
      </c>
      <c r="I23" s="108">
        <f>(((2398237.11+13089.83+227838.15)*((1+I3)*(1+I4))*I5)*13)</f>
        <v>14550404.590892645</v>
      </c>
      <c r="J23" s="108">
        <f t="shared" ref="J23:L23" si="18">(((2398237.11+13089.83+227838.15)*((1+J3)*(1+J4))*J5)*13)</f>
        <v>18154899.128019065</v>
      </c>
      <c r="K23" s="108">
        <f t="shared" si="18"/>
        <v>21241231.979782302</v>
      </c>
      <c r="L23" s="108">
        <f t="shared" si="18"/>
        <v>20806842.807963111</v>
      </c>
      <c r="M23" s="52">
        <f>SUM(I23:L23)</f>
        <v>74753378.506657124</v>
      </c>
    </row>
    <row r="24" spans="1:13" s="77" customFormat="1" ht="8.25" x14ac:dyDescent="0.15">
      <c r="A24" s="96"/>
      <c r="B24" s="96" t="s">
        <v>565</v>
      </c>
      <c r="C24" s="96"/>
      <c r="D24" s="108">
        <v>206952.49</v>
      </c>
      <c r="E24" s="108">
        <f>194572.95</f>
        <v>194572.95</v>
      </c>
      <c r="F24" s="108">
        <f>114002.32</f>
        <v>114002.32</v>
      </c>
      <c r="G24" s="108">
        <f>49136.74</f>
        <v>49136.74</v>
      </c>
      <c r="H24" s="134">
        <f>(13089.83)*13</f>
        <v>170167.79</v>
      </c>
      <c r="I24" s="108"/>
      <c r="J24" s="108"/>
      <c r="K24" s="108"/>
      <c r="L24" s="108"/>
      <c r="M24" s="52">
        <f t="shared" si="14"/>
        <v>0</v>
      </c>
    </row>
    <row r="25" spans="1:13" s="77" customFormat="1" ht="8.25" x14ac:dyDescent="0.15">
      <c r="A25" s="96" t="s">
        <v>603</v>
      </c>
      <c r="B25" s="96" t="s">
        <v>566</v>
      </c>
      <c r="C25" s="96"/>
      <c r="D25" s="108">
        <v>842676.88</v>
      </c>
      <c r="E25" s="108">
        <f>635573.09+33930.84+222849.72</f>
        <v>892353.64999999991</v>
      </c>
      <c r="F25" s="108">
        <f>227027.48+22881.73</f>
        <v>249909.21000000002</v>
      </c>
      <c r="G25" s="108">
        <f>34737.87+336847.71</f>
        <v>371585.58</v>
      </c>
      <c r="H25" s="134">
        <f>227838.15*13</f>
        <v>2961895.9499999997</v>
      </c>
      <c r="I25" s="52">
        <f>(SUM(D25:G25)/3)*((1+I3)*(1+I4))</f>
        <v>832829.35364585603</v>
      </c>
      <c r="J25" s="52">
        <f t="shared" ref="J25:L25" si="19">(SUM(E25:H25)/3)*((1+J3)*(1+J4))</f>
        <v>1578912.0782472915</v>
      </c>
      <c r="K25" s="52">
        <f t="shared" si="19"/>
        <v>1557913.6426188599</v>
      </c>
      <c r="L25" s="52">
        <f t="shared" si="19"/>
        <v>2046520.2343133623</v>
      </c>
      <c r="M25" s="52">
        <f t="shared" si="14"/>
        <v>6016175.3088253699</v>
      </c>
    </row>
    <row r="26" spans="1:13" s="77" customFormat="1" ht="8.25" x14ac:dyDescent="0.15"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1:13" s="77" customFormat="1" ht="8.25" x14ac:dyDescent="0.15">
      <c r="A27" s="96"/>
      <c r="B27" s="96"/>
      <c r="C27" s="96" t="s">
        <v>602</v>
      </c>
      <c r="D27" s="108">
        <f t="shared" ref="D27:H27" si="20">SUM(D8:D26)</f>
        <v>14606571.690000001</v>
      </c>
      <c r="E27" s="108">
        <f t="shared" si="20"/>
        <v>16928995.249999996</v>
      </c>
      <c r="F27" s="108">
        <f t="shared" si="20"/>
        <v>19935455.030000001</v>
      </c>
      <c r="G27" s="108">
        <f t="shared" si="20"/>
        <v>19966870.920000002</v>
      </c>
      <c r="H27" s="108">
        <f t="shared" si="20"/>
        <v>26532130.949999999</v>
      </c>
      <c r="I27" s="108">
        <f>SUM(I8:I26)</f>
        <v>41552033.473567933</v>
      </c>
      <c r="J27" s="108">
        <f>SUM(J8:J26)</f>
        <v>43979027.578639269</v>
      </c>
      <c r="K27" s="108">
        <f>SUM(K8:K26)</f>
        <v>48625899.526323862</v>
      </c>
      <c r="L27" s="108">
        <f>SUM(L8:L26)</f>
        <v>48872839.173344448</v>
      </c>
      <c r="M27" s="108">
        <f>SUM(M8:M26)</f>
        <v>183029799.75187552</v>
      </c>
    </row>
    <row r="28" spans="1:13" s="77" customFormat="1" ht="8.25" x14ac:dyDescent="0.15">
      <c r="D28" s="83">
        <f>14606571.69-D27</f>
        <v>0</v>
      </c>
      <c r="E28" s="83">
        <f>16928995.25-E27</f>
        <v>0</v>
      </c>
      <c r="F28" s="83">
        <f>19935455.03-F27</f>
        <v>0</v>
      </c>
      <c r="G28" s="83">
        <f>19966870.92-G27</f>
        <v>0</v>
      </c>
    </row>
    <row r="29" spans="1:13" s="77" customFormat="1" ht="8.25" x14ac:dyDescent="0.15">
      <c r="D29" s="137" t="s">
        <v>586</v>
      </c>
      <c r="E29" s="138" t="s">
        <v>588</v>
      </c>
      <c r="F29" s="139">
        <v>44287</v>
      </c>
      <c r="G29" s="137" t="s">
        <v>587</v>
      </c>
      <c r="H29" s="80" t="s">
        <v>581</v>
      </c>
      <c r="I29" s="80" t="s">
        <v>580</v>
      </c>
      <c r="J29" s="80" t="s">
        <v>582</v>
      </c>
    </row>
    <row r="30" spans="1:13" s="77" customFormat="1" ht="8.25" x14ac:dyDescent="0.15">
      <c r="A30" s="77" t="s">
        <v>583</v>
      </c>
      <c r="B30" s="77" t="s">
        <v>573</v>
      </c>
      <c r="D30" s="78">
        <f>2398237.11</f>
        <v>2398237.11</v>
      </c>
      <c r="G30" s="133" t="s">
        <v>574</v>
      </c>
      <c r="H30" s="85">
        <f>H8/(D30*13)</f>
        <v>0.12070131380795789</v>
      </c>
      <c r="I30" s="85">
        <f>H10/(D32*13)</f>
        <v>0.1361061846508726</v>
      </c>
      <c r="J30" s="85">
        <f>H9/(D33*13)</f>
        <v>0.1279958934235596</v>
      </c>
    </row>
    <row r="31" spans="1:13" s="77" customFormat="1" ht="8.25" x14ac:dyDescent="0.15">
      <c r="G31" s="133" t="s">
        <v>575</v>
      </c>
      <c r="H31" s="85">
        <f>H16/(D30*13)</f>
        <v>0.19989999654371124</v>
      </c>
      <c r="I31" s="85">
        <f>I18/(D32*13)</f>
        <v>0.21193675385071883</v>
      </c>
      <c r="J31" s="85">
        <f>H17/(D33*13)</f>
        <v>0.19989720523435833</v>
      </c>
    </row>
    <row r="32" spans="1:13" s="77" customFormat="1" ht="8.25" x14ac:dyDescent="0.15">
      <c r="A32" s="77" t="s">
        <v>584</v>
      </c>
      <c r="B32" s="77" t="s">
        <v>579</v>
      </c>
      <c r="D32" s="88">
        <v>39666.75</v>
      </c>
      <c r="G32" s="133" t="s">
        <v>576</v>
      </c>
      <c r="H32" s="85">
        <f>H23/(D30*13)</f>
        <v>0.32999814601317717</v>
      </c>
      <c r="I32" s="85">
        <f>H24/(D32*13)</f>
        <v>0.32999502101886341</v>
      </c>
      <c r="J32" s="85">
        <f>H25/(D33*13)</f>
        <v>0.32999731208749816</v>
      </c>
    </row>
    <row r="33" spans="1:13" s="77" customFormat="1" ht="8.25" x14ac:dyDescent="0.15">
      <c r="A33" s="77" t="s">
        <v>582</v>
      </c>
      <c r="B33" s="77" t="s">
        <v>579</v>
      </c>
      <c r="D33" s="88">
        <v>690424.26</v>
      </c>
    </row>
    <row r="34" spans="1:13" s="77" customFormat="1" ht="8.25" x14ac:dyDescent="0.15">
      <c r="A34" s="77" t="s">
        <v>585</v>
      </c>
    </row>
    <row r="35" spans="1:13" s="77" customFormat="1" ht="12" x14ac:dyDescent="0.2">
      <c r="A35" s="235" t="s">
        <v>1147</v>
      </c>
    </row>
    <row r="36" spans="1:13" s="46" customFormat="1" ht="8.25" x14ac:dyDescent="0.15">
      <c r="A36" s="46" t="s">
        <v>108</v>
      </c>
      <c r="H36" s="46" t="s">
        <v>106</v>
      </c>
      <c r="I36" s="47">
        <v>3.5999999999999997E-2</v>
      </c>
      <c r="J36" s="47">
        <v>3.2500000000000001E-2</v>
      </c>
      <c r="K36" s="47">
        <v>3.2500000000000001E-2</v>
      </c>
      <c r="L36" s="47">
        <v>3.2500000000000001E-2</v>
      </c>
    </row>
    <row r="37" spans="1:13" s="46" customFormat="1" ht="8.25" x14ac:dyDescent="0.15">
      <c r="H37" s="46" t="s">
        <v>107</v>
      </c>
      <c r="I37" s="47">
        <v>2.3400000000000001E-2</v>
      </c>
      <c r="J37" s="47">
        <v>2.5000000000000001E-2</v>
      </c>
      <c r="K37" s="47">
        <v>2.5000000000000001E-2</v>
      </c>
      <c r="L37" s="47">
        <v>3.5000000000000003E-2</v>
      </c>
    </row>
    <row r="38" spans="1:13" s="46" customFormat="1" ht="8.25" x14ac:dyDescent="0.15">
      <c r="B38" s="48" t="s">
        <v>572</v>
      </c>
      <c r="C38" s="48"/>
      <c r="D38" s="49">
        <v>2017</v>
      </c>
      <c r="E38" s="49">
        <v>2018</v>
      </c>
      <c r="F38" s="49">
        <v>2019</v>
      </c>
      <c r="G38" s="49">
        <v>2020</v>
      </c>
      <c r="H38" s="49">
        <v>2021</v>
      </c>
      <c r="I38" s="49">
        <v>2022</v>
      </c>
      <c r="J38" s="49">
        <v>2023</v>
      </c>
      <c r="K38" s="49">
        <v>2024</v>
      </c>
      <c r="L38" s="49">
        <v>2025</v>
      </c>
      <c r="M38" s="48" t="s">
        <v>90</v>
      </c>
    </row>
    <row r="39" spans="1:13" s="46" customFormat="1" ht="8.25" x14ac:dyDescent="0.15">
      <c r="A39" s="34" t="s">
        <v>75</v>
      </c>
      <c r="B39" s="35" t="s">
        <v>47</v>
      </c>
      <c r="C39" s="35"/>
      <c r="D39" s="35" t="s">
        <v>70</v>
      </c>
      <c r="E39" s="35" t="s">
        <v>70</v>
      </c>
      <c r="F39" s="35" t="s">
        <v>70</v>
      </c>
      <c r="G39" s="35" t="s">
        <v>70</v>
      </c>
      <c r="H39" s="44" t="s">
        <v>136</v>
      </c>
      <c r="I39" s="36" t="s">
        <v>89</v>
      </c>
      <c r="J39" s="36" t="s">
        <v>89</v>
      </c>
      <c r="K39" s="36" t="s">
        <v>89</v>
      </c>
      <c r="L39" s="36" t="s">
        <v>89</v>
      </c>
      <c r="M39" s="50" t="s">
        <v>91</v>
      </c>
    </row>
    <row r="40" spans="1:13" s="77" customFormat="1" ht="8.25" x14ac:dyDescent="0.15">
      <c r="A40" s="96" t="s">
        <v>604</v>
      </c>
      <c r="B40" s="129" t="s">
        <v>557</v>
      </c>
      <c r="C40" s="96"/>
      <c r="D40" s="108">
        <v>1058228.71</v>
      </c>
      <c r="E40" s="108">
        <v>889370.9</v>
      </c>
      <c r="F40" s="108">
        <v>936055.03</v>
      </c>
      <c r="G40" s="108">
        <v>961697.82</v>
      </c>
      <c r="H40" s="108">
        <f>78620.12*12</f>
        <v>943441.44</v>
      </c>
      <c r="I40" s="132">
        <f>((78620.12*12)*((1+I36)*(1+I37)))</f>
        <v>1000276.6166050561</v>
      </c>
      <c r="J40" s="132">
        <f t="shared" ref="J40:L40" si="21">((78620.12*12)*((1+J36)*(1+J37)))</f>
        <v>998455.86896999995</v>
      </c>
      <c r="K40" s="132">
        <f t="shared" si="21"/>
        <v>998455.86896999995</v>
      </c>
      <c r="L40" s="132">
        <f t="shared" si="21"/>
        <v>1008196.9018379998</v>
      </c>
      <c r="M40" s="52">
        <f>SUM(I40:L40)</f>
        <v>4005385.2563830558</v>
      </c>
    </row>
    <row r="41" spans="1:13" s="77" customFormat="1" ht="8.25" x14ac:dyDescent="0.15">
      <c r="A41" s="96" t="s">
        <v>605</v>
      </c>
      <c r="B41" s="129" t="s">
        <v>558</v>
      </c>
      <c r="C41" s="96"/>
      <c r="D41" s="108"/>
      <c r="E41" s="108">
        <v>384572.95</v>
      </c>
      <c r="F41" s="108">
        <f>507307.19</f>
        <v>507307.19</v>
      </c>
      <c r="G41" s="108">
        <f>587027.7</f>
        <v>587027.69999999995</v>
      </c>
      <c r="H41" s="108">
        <f>47388.97*12</f>
        <v>568667.64</v>
      </c>
      <c r="I41" s="145">
        <f>((47388.97*12)*((1+I36)*(1+I37)))</f>
        <v>602925.5434359361</v>
      </c>
      <c r="J41" s="145">
        <f t="shared" ref="J41:L41" si="22">((47388.97*12)*((1+J36)*(1+J37)))</f>
        <v>601828.07175750006</v>
      </c>
      <c r="K41" s="145">
        <f t="shared" si="22"/>
        <v>601828.07175750006</v>
      </c>
      <c r="L41" s="145">
        <f t="shared" si="22"/>
        <v>607699.56514049997</v>
      </c>
      <c r="M41" s="146">
        <f>SUM(I41:L41)</f>
        <v>2414281.2520914362</v>
      </c>
    </row>
    <row r="42" spans="1:13" s="77" customFormat="1" ht="8.25" x14ac:dyDescent="0.15">
      <c r="A42" s="96" t="s">
        <v>605</v>
      </c>
      <c r="B42" s="129" t="s">
        <v>559</v>
      </c>
      <c r="C42" s="96"/>
      <c r="D42" s="108"/>
      <c r="E42" s="108">
        <v>62515.15</v>
      </c>
      <c r="F42" s="108"/>
      <c r="G42" s="108"/>
      <c r="H42" s="108">
        <f>5754.68*12</f>
        <v>69056.160000000003</v>
      </c>
      <c r="I42" s="146">
        <f>((5754.68*12)*((1+I36)*(1+I37)))</f>
        <v>73216.268813184011</v>
      </c>
      <c r="J42" s="146">
        <f t="shared" ref="J42:L42" si="23">((5754.68*12)*((1+J36)*(1+J37)))</f>
        <v>73082.997329999998</v>
      </c>
      <c r="K42" s="146">
        <f t="shared" si="23"/>
        <v>73082.997329999998</v>
      </c>
      <c r="L42" s="146">
        <f t="shared" si="23"/>
        <v>73796.002181999997</v>
      </c>
      <c r="M42" s="146">
        <f>SUM(I42:L42)</f>
        <v>293178.26565518405</v>
      </c>
    </row>
    <row r="43" spans="1:13" s="46" customFormat="1" ht="8.25" x14ac:dyDescent="0.15">
      <c r="A43" s="55" t="s">
        <v>606</v>
      </c>
      <c r="B43" s="56" t="s">
        <v>130</v>
      </c>
      <c r="C43" s="56"/>
      <c r="D43" s="37">
        <v>202516.48000000001</v>
      </c>
      <c r="E43" s="37">
        <v>116744.1</v>
      </c>
      <c r="F43" s="37">
        <v>71265.100000000006</v>
      </c>
      <c r="G43" s="37">
        <v>26113.31</v>
      </c>
      <c r="H43" s="51"/>
      <c r="I43" s="52">
        <f>(SUM(D43:G43)/3)*((1+I36)*(1+I37))</f>
        <v>147246.10756372538</v>
      </c>
      <c r="J43" s="52">
        <f t="shared" ref="J43:L43" si="24">(SUM(E43:H43)/3)*((1+J36)*(1+J37))</f>
        <v>75536.176288125003</v>
      </c>
      <c r="K43" s="52">
        <f t="shared" si="24"/>
        <v>86296.394914720033</v>
      </c>
      <c r="L43" s="52">
        <f t="shared" si="24"/>
        <v>88659.721724952236</v>
      </c>
      <c r="M43" s="52">
        <f>SUM(I43:L43)</f>
        <v>397738.40049152263</v>
      </c>
    </row>
    <row r="44" spans="1:13" s="46" customFormat="1" ht="8.25" x14ac:dyDescent="0.15">
      <c r="A44" s="55"/>
      <c r="B44" s="96" t="s">
        <v>567</v>
      </c>
      <c r="C44" s="56"/>
      <c r="D44" s="37">
        <v>314980.44</v>
      </c>
      <c r="E44" s="37"/>
      <c r="F44" s="37"/>
      <c r="G44" s="37"/>
      <c r="H44" s="51"/>
      <c r="I44" s="52"/>
      <c r="J44" s="52"/>
      <c r="K44" s="52"/>
      <c r="L44" s="52"/>
      <c r="M44" s="52">
        <f t="shared" ref="M44:M50" si="25">SUM(I44:L44)</f>
        <v>0</v>
      </c>
    </row>
    <row r="45" spans="1:13" s="77" customFormat="1" ht="8.25" x14ac:dyDescent="0.15">
      <c r="A45" s="96" t="s">
        <v>607</v>
      </c>
      <c r="B45" s="96" t="s">
        <v>568</v>
      </c>
      <c r="C45" s="96"/>
      <c r="D45" s="108">
        <v>844424.63</v>
      </c>
      <c r="E45" s="108">
        <v>886950.92</v>
      </c>
      <c r="F45" s="108">
        <f>1234581.91</f>
        <v>1234581.9099999999</v>
      </c>
      <c r="G45" s="108">
        <v>1331022.75</v>
      </c>
      <c r="H45" s="108">
        <f>54939.97*12</f>
        <v>659279.64</v>
      </c>
      <c r="I45" s="154">
        <f>((54939.97*12)*((1+I36)*(1+I37)))</f>
        <v>698996.22778473608</v>
      </c>
      <c r="J45" s="52">
        <f t="shared" ref="J45:L45" si="26">((54939.97*12)*((1+J36)*(1+J37)))</f>
        <v>697723.88400750002</v>
      </c>
      <c r="K45" s="52">
        <f t="shared" si="26"/>
        <v>697723.88400750002</v>
      </c>
      <c r="L45" s="52">
        <f t="shared" si="26"/>
        <v>704530.9462905</v>
      </c>
      <c r="M45" s="52">
        <f>SUM(I45:L45)</f>
        <v>2798974.9420902361</v>
      </c>
    </row>
    <row r="46" spans="1:13" s="77" customFormat="1" ht="8.25" x14ac:dyDescent="0.15">
      <c r="A46" s="96" t="s">
        <v>608</v>
      </c>
      <c r="B46" s="129" t="s">
        <v>556</v>
      </c>
      <c r="C46" s="96"/>
      <c r="D46" s="108">
        <v>347777.51</v>
      </c>
      <c r="E46" s="108">
        <v>640779.28</v>
      </c>
      <c r="F46" s="108">
        <f>834666.38</f>
        <v>834666.38</v>
      </c>
      <c r="G46" s="108">
        <f>1517761.69</f>
        <v>1517761.69</v>
      </c>
      <c r="H46" s="108">
        <f>78620.12*12</f>
        <v>943441.44</v>
      </c>
      <c r="I46" s="40">
        <f>((78620.12*12)*((1+I36)*(1+I37)))</f>
        <v>1000276.6166050561</v>
      </c>
      <c r="J46" s="40">
        <f t="shared" ref="J46:L46" si="27">((78620.12*12)*((1+J36)*(1+J37)))</f>
        <v>998455.86896999995</v>
      </c>
      <c r="K46" s="40">
        <f t="shared" si="27"/>
        <v>998455.86896999995</v>
      </c>
      <c r="L46" s="40">
        <f t="shared" si="27"/>
        <v>1008196.9018379998</v>
      </c>
      <c r="M46" s="40">
        <f>SUM(I46:L46)</f>
        <v>4005385.2563830558</v>
      </c>
    </row>
    <row r="47" spans="1:13" s="77" customFormat="1" ht="8.25" x14ac:dyDescent="0.15">
      <c r="A47" s="96"/>
      <c r="B47" s="96" t="s">
        <v>562</v>
      </c>
      <c r="C47" s="96"/>
      <c r="D47" s="108">
        <v>992916.05</v>
      </c>
      <c r="E47" s="108">
        <v>71258.210000000006</v>
      </c>
      <c r="F47" s="108"/>
      <c r="G47" s="108"/>
      <c r="H47" s="108">
        <f>47388.97*12</f>
        <v>568667.64</v>
      </c>
      <c r="I47" s="40">
        <f>((47388.97*12)*((1+I36)*(1+I37)))</f>
        <v>602925.5434359361</v>
      </c>
      <c r="J47" s="40">
        <f t="shared" ref="J47:L47" si="28">((47388.97*12)*((1+J36)*(1+J37)))</f>
        <v>601828.07175750006</v>
      </c>
      <c r="K47" s="40">
        <f t="shared" si="28"/>
        <v>601828.07175750006</v>
      </c>
      <c r="L47" s="40">
        <f t="shared" si="28"/>
        <v>607699.56514049997</v>
      </c>
      <c r="M47" s="40">
        <f>SUM(I47:L47)</f>
        <v>2414281.2520914362</v>
      </c>
    </row>
    <row r="48" spans="1:13" s="77" customFormat="1" ht="8.25" x14ac:dyDescent="0.15">
      <c r="A48" s="96" t="s">
        <v>609</v>
      </c>
      <c r="B48" s="96" t="s">
        <v>569</v>
      </c>
      <c r="C48" s="96"/>
      <c r="D48" s="108"/>
      <c r="E48" s="108">
        <v>494764.19</v>
      </c>
      <c r="F48" s="108">
        <f>121341.71</f>
        <v>121341.71</v>
      </c>
      <c r="G48" s="108"/>
      <c r="H48" s="108"/>
      <c r="I48" s="52">
        <f>(SUM(D48:G48)/3)*((1+I36)*(1+I37))</f>
        <v>217740.53269005337</v>
      </c>
      <c r="J48" s="52">
        <f t="shared" ref="J48:L48" si="29">(SUM(E48:H48)/3)*((1+J36)*(1+J37))</f>
        <v>217344.19176458332</v>
      </c>
      <c r="K48" s="52">
        <f t="shared" si="29"/>
        <v>119618.3253223057</v>
      </c>
      <c r="L48" s="52">
        <f t="shared" si="29"/>
        <v>154982.61740979727</v>
      </c>
      <c r="M48" s="52">
        <f>SUM(I48:L48)</f>
        <v>709685.66718673962</v>
      </c>
    </row>
    <row r="49" spans="1:15" s="77" customFormat="1" ht="8.25" x14ac:dyDescent="0.15">
      <c r="A49" s="96"/>
      <c r="B49" s="96" t="s">
        <v>566</v>
      </c>
      <c r="C49" s="96"/>
      <c r="D49" s="108">
        <v>1213.1400000000001</v>
      </c>
      <c r="E49" s="108">
        <v>401.5</v>
      </c>
      <c r="F49" s="108"/>
      <c r="G49" s="108">
        <f>102.67</f>
        <v>102.67</v>
      </c>
      <c r="H49" s="108"/>
      <c r="I49" s="108"/>
      <c r="J49" s="108"/>
      <c r="K49" s="108"/>
      <c r="L49" s="108"/>
      <c r="M49" s="52">
        <f t="shared" si="25"/>
        <v>0</v>
      </c>
    </row>
    <row r="50" spans="1:15" s="77" customFormat="1" ht="8.25" x14ac:dyDescent="0.15">
      <c r="A50" s="96"/>
      <c r="B50" s="96" t="s">
        <v>567</v>
      </c>
      <c r="C50" s="96"/>
      <c r="D50" s="108">
        <v>20000</v>
      </c>
      <c r="E50" s="108"/>
      <c r="F50" s="108"/>
      <c r="G50" s="108"/>
      <c r="H50" s="108"/>
      <c r="I50" s="52"/>
      <c r="J50" s="108"/>
      <c r="K50" s="108"/>
      <c r="L50" s="108"/>
      <c r="M50" s="52">
        <f t="shared" si="25"/>
        <v>0</v>
      </c>
    </row>
    <row r="51" spans="1:15" s="77" customFormat="1" ht="8.25" x14ac:dyDescent="0.15"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5" s="77" customFormat="1" ht="8.25" x14ac:dyDescent="0.15">
      <c r="A52" s="96"/>
      <c r="B52" s="96"/>
      <c r="C52" s="96" t="s">
        <v>602</v>
      </c>
      <c r="D52" s="108">
        <f t="shared" ref="D52:H52" si="30">SUM(D40:D51)</f>
        <v>3782056.9599999995</v>
      </c>
      <c r="E52" s="108">
        <f t="shared" si="30"/>
        <v>3547357.1999999997</v>
      </c>
      <c r="F52" s="108">
        <f t="shared" si="30"/>
        <v>3705217.32</v>
      </c>
      <c r="G52" s="108">
        <f t="shared" si="30"/>
        <v>4423725.9399999995</v>
      </c>
      <c r="H52" s="108">
        <f t="shared" si="30"/>
        <v>3752553.96</v>
      </c>
      <c r="I52" s="108">
        <f>SUM(I40:I51)</f>
        <v>4343603.4569336837</v>
      </c>
      <c r="J52" s="108">
        <f>SUM(J40:J51)</f>
        <v>4264255.1308452077</v>
      </c>
      <c r="K52" s="108">
        <f>SUM(K40:K51)</f>
        <v>4177289.4830295257</v>
      </c>
      <c r="L52" s="108">
        <f>SUM(L40:L51)</f>
        <v>4253762.2215642491</v>
      </c>
      <c r="M52" s="108">
        <f>SUM(M40:M51)</f>
        <v>17038910.292372666</v>
      </c>
    </row>
    <row r="53" spans="1:15" s="77" customFormat="1" ht="8.25" x14ac:dyDescent="0.15">
      <c r="D53" s="83"/>
      <c r="E53" s="83"/>
      <c r="F53" s="83"/>
      <c r="G53" s="83"/>
    </row>
    <row r="54" spans="1:15" s="77" customFormat="1" ht="8.25" x14ac:dyDescent="0.15">
      <c r="A54" s="140" t="s">
        <v>605</v>
      </c>
      <c r="B54" s="141"/>
      <c r="C54" s="141"/>
      <c r="D54" s="141"/>
      <c r="E54" s="141"/>
      <c r="F54" s="141"/>
      <c r="G54" s="141"/>
      <c r="H54" s="141"/>
      <c r="I54" s="142">
        <f>I41+I42</f>
        <v>676141.81224912009</v>
      </c>
      <c r="J54" s="142">
        <f>J41+J42</f>
        <v>674911.0690875001</v>
      </c>
      <c r="K54" s="142">
        <f>K41+K42</f>
        <v>674911.0690875001</v>
      </c>
      <c r="L54" s="143">
        <f>L41+L42</f>
        <v>681495.56732249993</v>
      </c>
      <c r="M54" s="110">
        <f t="shared" ref="M54" si="31">SUM(I54:L54)</f>
        <v>2707459.5177466203</v>
      </c>
    </row>
    <row r="55" spans="1:15" s="77" customFormat="1" ht="8.25" x14ac:dyDescent="0.15">
      <c r="A55" s="77" t="s">
        <v>608</v>
      </c>
      <c r="I55" s="83">
        <f>I47+I46</f>
        <v>1603202.1600409923</v>
      </c>
      <c r="J55" s="83">
        <f t="shared" ref="J55:L55" si="32">J47+J46</f>
        <v>1600283.9407275</v>
      </c>
      <c r="K55" s="83">
        <f t="shared" si="32"/>
        <v>1600283.9407275</v>
      </c>
      <c r="L55" s="83">
        <f t="shared" si="32"/>
        <v>1615896.4669784997</v>
      </c>
      <c r="M55" s="83">
        <f>M47+M46</f>
        <v>6419666.5084744915</v>
      </c>
    </row>
    <row r="56" spans="1:15" x14ac:dyDescent="0.25">
      <c r="N56" s="77"/>
    </row>
    <row r="57" spans="1:15" s="77" customFormat="1" ht="8.25" x14ac:dyDescent="0.15">
      <c r="H57" s="150" t="s">
        <v>612</v>
      </c>
      <c r="I57" s="148">
        <v>1000276.62</v>
      </c>
      <c r="J57" s="148">
        <v>998455.87</v>
      </c>
      <c r="K57" s="148">
        <v>998455.87</v>
      </c>
      <c r="L57" s="148">
        <v>1008196.9</v>
      </c>
      <c r="M57" s="148">
        <v>4005385.26</v>
      </c>
    </row>
    <row r="58" spans="1:15" s="77" customFormat="1" ht="8.25" x14ac:dyDescent="0.15">
      <c r="H58" s="151" t="s">
        <v>613</v>
      </c>
      <c r="I58" s="148">
        <v>676141.81</v>
      </c>
      <c r="J58" s="148">
        <v>674911.07</v>
      </c>
      <c r="K58" s="148">
        <v>674911.07</v>
      </c>
      <c r="L58" s="148">
        <v>681495.57</v>
      </c>
      <c r="M58" s="148">
        <v>2707459.52</v>
      </c>
    </row>
    <row r="59" spans="1:15" s="77" customFormat="1" ht="8.25" x14ac:dyDescent="0.15">
      <c r="H59" s="150" t="s">
        <v>614</v>
      </c>
      <c r="I59" s="148">
        <v>147246.10999999999</v>
      </c>
      <c r="J59" s="148">
        <v>75536.179999999993</v>
      </c>
      <c r="K59" s="148">
        <v>86296.39</v>
      </c>
      <c r="L59" s="148">
        <v>88659.72</v>
      </c>
      <c r="M59" s="148">
        <v>397738.4</v>
      </c>
    </row>
    <row r="60" spans="1:15" s="77" customFormat="1" ht="8.25" x14ac:dyDescent="0.15">
      <c r="H60" s="151" t="s">
        <v>615</v>
      </c>
      <c r="I60" s="148">
        <v>698996.23</v>
      </c>
      <c r="J60" s="148">
        <v>697723.88</v>
      </c>
      <c r="K60" s="148">
        <v>697723.88</v>
      </c>
      <c r="L60" s="148">
        <v>704530.95</v>
      </c>
      <c r="M60" s="148">
        <v>2798974.94</v>
      </c>
    </row>
    <row r="61" spans="1:15" s="77" customFormat="1" ht="9" thickBot="1" x14ac:dyDescent="0.2">
      <c r="H61" s="151" t="s">
        <v>616</v>
      </c>
      <c r="I61" s="148">
        <v>217740.53</v>
      </c>
      <c r="J61" s="148">
        <v>217344.19</v>
      </c>
      <c r="K61" s="148">
        <v>119618.33</v>
      </c>
      <c r="L61" s="148">
        <v>154982.62</v>
      </c>
      <c r="M61" s="148">
        <v>709685.67</v>
      </c>
    </row>
    <row r="62" spans="1:15" ht="15.75" thickBot="1" x14ac:dyDescent="0.3">
      <c r="H62" s="152" t="s">
        <v>617</v>
      </c>
      <c r="I62" s="149">
        <f>I46+I47</f>
        <v>1603202.1600409923</v>
      </c>
      <c r="J62" s="149">
        <f>J46+J47</f>
        <v>1600283.9407275</v>
      </c>
      <c r="K62" s="149">
        <f>K46+K47</f>
        <v>1600283.9407275</v>
      </c>
      <c r="L62" s="149">
        <f>L46+L47</f>
        <v>1615896.4669784997</v>
      </c>
      <c r="M62" s="149">
        <f>M46+M47</f>
        <v>6419666.5084744915</v>
      </c>
      <c r="O62" s="77"/>
    </row>
    <row r="63" spans="1:15" x14ac:dyDescent="0.25">
      <c r="I63" s="153">
        <f>SUM(I57:I62)</f>
        <v>4343603.4600409921</v>
      </c>
      <c r="J63" s="153">
        <f>SUM(J57:J62)</f>
        <v>4264255.1307274997</v>
      </c>
      <c r="K63" s="153">
        <f>SUM(K57:K62)</f>
        <v>4177289.4807275003</v>
      </c>
      <c r="L63" s="153">
        <f>SUM(L57:L62)</f>
        <v>4253762.2269784994</v>
      </c>
      <c r="M63" s="153">
        <f>SUM(M57:M62)</f>
        <v>17038910.298474491</v>
      </c>
      <c r="O63" s="77"/>
    </row>
    <row r="64" spans="1:15" x14ac:dyDescent="0.25">
      <c r="I64" s="147">
        <f>I52-I63</f>
        <v>-3.1073084101080894E-3</v>
      </c>
      <c r="J64" s="147">
        <f>J52-J63</f>
        <v>1.177079975605011E-4</v>
      </c>
      <c r="K64" s="147">
        <f>K52-K63</f>
        <v>2.3020254448056221E-3</v>
      </c>
      <c r="L64" s="147">
        <f>L52-L63</f>
        <v>-5.4142503067851067E-3</v>
      </c>
    </row>
  </sheetData>
  <pageMargins left="0.511811024" right="0.511811024" top="0.78740157499999996" bottom="0.78740157499999996" header="0.31496062000000002" footer="0.31496062000000002"/>
  <pageSetup paperSize="9" scale="87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8"/>
  <sheetViews>
    <sheetView tabSelected="1" view="pageBreakPreview" zoomScale="60" zoomScaleNormal="100" workbookViewId="0">
      <selection activeCell="G15" sqref="G15"/>
    </sheetView>
  </sheetViews>
  <sheetFormatPr defaultRowHeight="15" x14ac:dyDescent="0.25"/>
  <cols>
    <col min="2" max="2" width="10.7109375" bestFit="1" customWidth="1"/>
    <col min="3" max="7" width="15.7109375" bestFit="1" customWidth="1"/>
    <col min="8" max="8" width="14" bestFit="1" customWidth="1"/>
    <col min="9" max="9" width="15.7109375" bestFit="1" customWidth="1"/>
    <col min="10" max="10" width="14" bestFit="1" customWidth="1"/>
    <col min="11" max="11" width="15.7109375" bestFit="1" customWidth="1"/>
    <col min="12" max="12" width="14" bestFit="1" customWidth="1"/>
    <col min="13" max="13" width="5.5703125" bestFit="1" customWidth="1"/>
    <col min="14" max="14" width="15" bestFit="1" customWidth="1"/>
  </cols>
  <sheetData>
    <row r="1" spans="1:7" s="77" customFormat="1" ht="21" customHeight="1" x14ac:dyDescent="0.15">
      <c r="A1" s="306" t="s">
        <v>1148</v>
      </c>
      <c r="B1" s="306"/>
      <c r="C1" s="306"/>
      <c r="D1" s="306"/>
      <c r="E1" s="306"/>
      <c r="F1" s="306"/>
      <c r="G1" s="306"/>
    </row>
    <row r="2" spans="1:7" ht="15.75" x14ac:dyDescent="0.25">
      <c r="B2" t="s">
        <v>0</v>
      </c>
      <c r="C2" s="196">
        <v>2022</v>
      </c>
      <c r="D2" s="196">
        <v>2023</v>
      </c>
      <c r="E2" s="196">
        <v>2024</v>
      </c>
      <c r="F2" s="196">
        <v>2025</v>
      </c>
      <c r="G2" s="197" t="s">
        <v>1085</v>
      </c>
    </row>
    <row r="3" spans="1:7" x14ac:dyDescent="0.25">
      <c r="A3" s="198" t="s">
        <v>1086</v>
      </c>
      <c r="B3" t="s">
        <v>1081</v>
      </c>
      <c r="C3" s="188">
        <v>117381360.5</v>
      </c>
      <c r="D3" s="188">
        <v>129655809.56999999</v>
      </c>
      <c r="E3" s="188">
        <v>140526056.69999999</v>
      </c>
      <c r="F3" s="199">
        <v>153113491.62</v>
      </c>
      <c r="G3" s="200">
        <f>SUM(C3:F3)</f>
        <v>540676718.38999999</v>
      </c>
    </row>
    <row r="4" spans="1:7" x14ac:dyDescent="0.25">
      <c r="A4" s="198" t="s">
        <v>1087</v>
      </c>
      <c r="B4" t="s">
        <v>1088</v>
      </c>
      <c r="C4" s="188">
        <v>41552033.469999999</v>
      </c>
      <c r="D4" s="188">
        <v>43979027.609999999</v>
      </c>
      <c r="E4" s="188">
        <v>48625899.530000001</v>
      </c>
      <c r="F4" s="199">
        <v>48872839.18</v>
      </c>
      <c r="G4" s="200">
        <f t="shared" ref="G4:G5" si="0">SUM(C4:F4)</f>
        <v>183029799.78999999</v>
      </c>
    </row>
    <row r="5" spans="1:7" x14ac:dyDescent="0.25">
      <c r="A5" s="198" t="s">
        <v>1089</v>
      </c>
      <c r="B5" t="s">
        <v>572</v>
      </c>
      <c r="C5" s="188">
        <v>4343603.46</v>
      </c>
      <c r="D5" s="188">
        <v>4264255.13</v>
      </c>
      <c r="E5" s="188">
        <v>4177289.48</v>
      </c>
      <c r="F5" s="188">
        <v>4253762.2300000004</v>
      </c>
      <c r="G5" s="200">
        <f t="shared" si="0"/>
        <v>17038910.300000001</v>
      </c>
    </row>
    <row r="6" spans="1:7" x14ac:dyDescent="0.25">
      <c r="B6" s="198" t="s">
        <v>1090</v>
      </c>
      <c r="C6" s="200">
        <f>SUM(C3:C5)</f>
        <v>163276997.43000001</v>
      </c>
      <c r="D6" s="200">
        <f t="shared" ref="D6:G6" si="1">SUM(D3:D5)</f>
        <v>177899092.31</v>
      </c>
      <c r="E6" s="200">
        <f t="shared" si="1"/>
        <v>193329245.70999998</v>
      </c>
      <c r="F6" s="200">
        <f t="shared" si="1"/>
        <v>206240093.03</v>
      </c>
      <c r="G6" s="201">
        <f t="shared" si="1"/>
        <v>740745428.4799999</v>
      </c>
    </row>
    <row r="7" spans="1:7" s="77" customFormat="1" ht="8.25" x14ac:dyDescent="0.15"/>
    <row r="8" spans="1:7" s="77" customFormat="1" ht="8.25" x14ac:dyDescent="0.15"/>
    <row r="9" spans="1:7" s="77" customFormat="1" ht="8.25" x14ac:dyDescent="0.15"/>
    <row r="10" spans="1:7" x14ac:dyDescent="0.25">
      <c r="A10" t="s">
        <v>1091</v>
      </c>
    </row>
    <row r="11" spans="1:7" x14ac:dyDescent="0.25">
      <c r="C11" s="189">
        <v>56874247.090000004</v>
      </c>
      <c r="D11" s="189">
        <v>68641515.569999993</v>
      </c>
      <c r="E11" s="189">
        <v>73107225.620000005</v>
      </c>
      <c r="F11" s="189">
        <v>79820845.540000007</v>
      </c>
      <c r="G11" s="189">
        <v>278443833.81999999</v>
      </c>
    </row>
    <row r="12" spans="1:7" x14ac:dyDescent="0.25">
      <c r="A12" t="s">
        <v>1092</v>
      </c>
      <c r="C12" s="43"/>
    </row>
    <row r="13" spans="1:7" x14ac:dyDescent="0.25">
      <c r="C13" s="189">
        <v>7881554.1500000004</v>
      </c>
      <c r="D13" s="189">
        <v>7163668.0899999999</v>
      </c>
      <c r="E13" s="189">
        <v>8030343.1100000003</v>
      </c>
      <c r="F13" s="189">
        <v>8448973.1300000008</v>
      </c>
      <c r="G13" s="189">
        <v>31524538.48</v>
      </c>
    </row>
    <row r="14" spans="1:7" x14ac:dyDescent="0.25">
      <c r="A14" t="s">
        <v>1093</v>
      </c>
    </row>
    <row r="15" spans="1:7" x14ac:dyDescent="0.25">
      <c r="C15" s="189">
        <v>25605080.170000002</v>
      </c>
      <c r="D15" s="189">
        <v>27943348.66</v>
      </c>
      <c r="E15" s="189">
        <v>30661285.32</v>
      </c>
      <c r="F15" s="189">
        <v>34337780.159999996</v>
      </c>
      <c r="G15" s="189">
        <v>118547494.31</v>
      </c>
    </row>
    <row r="16" spans="1:7" x14ac:dyDescent="0.25">
      <c r="A16" t="s">
        <v>1094</v>
      </c>
    </row>
    <row r="17" spans="1:7" x14ac:dyDescent="0.25">
      <c r="C17" s="189">
        <v>13393213.189999999</v>
      </c>
      <c r="D17" s="189">
        <v>13526251.550000001</v>
      </c>
      <c r="E17" s="189">
        <v>14993397.880000001</v>
      </c>
      <c r="F17" s="189">
        <v>16283496.869999999</v>
      </c>
      <c r="G17" s="189">
        <v>58196359.490000002</v>
      </c>
    </row>
    <row r="18" spans="1:7" x14ac:dyDescent="0.25">
      <c r="A18" t="s">
        <v>1095</v>
      </c>
    </row>
    <row r="19" spans="1:7" x14ac:dyDescent="0.25">
      <c r="C19" s="189">
        <v>41552033.469999999</v>
      </c>
      <c r="D19" s="189">
        <v>43979027.609999999</v>
      </c>
      <c r="E19" s="189">
        <v>48625899.530000001</v>
      </c>
      <c r="F19" s="189">
        <v>48872839.18</v>
      </c>
      <c r="G19" s="189">
        <v>183029799.78999999</v>
      </c>
    </row>
    <row r="20" spans="1:7" x14ac:dyDescent="0.25">
      <c r="A20" t="s">
        <v>1096</v>
      </c>
    </row>
    <row r="21" spans="1:7" x14ac:dyDescent="0.25">
      <c r="C21" s="189">
        <v>708428.80000000005</v>
      </c>
      <c r="D21" s="189">
        <v>675814.94</v>
      </c>
      <c r="E21" s="189">
        <v>743944.17</v>
      </c>
      <c r="F21" s="189">
        <v>834234.34</v>
      </c>
      <c r="G21" s="189">
        <v>2962422.25</v>
      </c>
    </row>
    <row r="22" spans="1:7" x14ac:dyDescent="0.25">
      <c r="A22" t="s">
        <v>1097</v>
      </c>
    </row>
    <row r="23" spans="1:7" x14ac:dyDescent="0.25">
      <c r="C23" s="189">
        <v>1885106.21</v>
      </c>
      <c r="D23" s="189">
        <v>2010427.88</v>
      </c>
      <c r="E23" s="189">
        <v>2195039.71</v>
      </c>
      <c r="F23" s="189">
        <v>2440968.48</v>
      </c>
      <c r="G23" s="189">
        <v>8531542.2799999993</v>
      </c>
    </row>
    <row r="24" spans="1:7" x14ac:dyDescent="0.25">
      <c r="A24" t="s">
        <v>1098</v>
      </c>
    </row>
    <row r="25" spans="1:7" x14ac:dyDescent="0.25">
      <c r="C25" s="189">
        <v>248820.16</v>
      </c>
      <c r="D25" s="189">
        <v>273699.74</v>
      </c>
      <c r="E25" s="189">
        <v>303943.98</v>
      </c>
      <c r="F25" s="189">
        <v>344778.07</v>
      </c>
      <c r="G25" s="189">
        <v>1171241.95</v>
      </c>
    </row>
    <row r="26" spans="1:7" x14ac:dyDescent="0.25">
      <c r="A26" t="s">
        <v>1099</v>
      </c>
    </row>
    <row r="27" spans="1:7" x14ac:dyDescent="0.25">
      <c r="C27" s="189">
        <v>2169051.4700000002</v>
      </c>
      <c r="D27" s="189">
        <v>2299135.37</v>
      </c>
      <c r="E27" s="189">
        <v>2431168.98</v>
      </c>
      <c r="F27" s="189">
        <v>2498169.12</v>
      </c>
      <c r="G27" s="189">
        <v>9397524.9399999995</v>
      </c>
    </row>
    <row r="28" spans="1:7" x14ac:dyDescent="0.25">
      <c r="A28" t="s">
        <v>1100</v>
      </c>
    </row>
    <row r="29" spans="1:7" x14ac:dyDescent="0.25">
      <c r="C29" s="189">
        <v>138999.82999999999</v>
      </c>
      <c r="D29" s="189">
        <v>103889.81</v>
      </c>
      <c r="E29" s="189">
        <v>108374.89</v>
      </c>
      <c r="F29" s="189">
        <v>112374.08</v>
      </c>
      <c r="G29" s="189">
        <v>463638.61</v>
      </c>
    </row>
    <row r="30" spans="1:7" x14ac:dyDescent="0.25">
      <c r="A30" t="s">
        <v>1101</v>
      </c>
    </row>
    <row r="31" spans="1:7" x14ac:dyDescent="0.25">
      <c r="C31" s="189">
        <v>587135.18000000005</v>
      </c>
      <c r="D31" s="189">
        <v>503791</v>
      </c>
      <c r="E31" s="189">
        <v>628335.35</v>
      </c>
      <c r="F31" s="189">
        <v>626214.57999999996</v>
      </c>
      <c r="G31" s="189">
        <v>2345476.11</v>
      </c>
    </row>
    <row r="32" spans="1:7" x14ac:dyDescent="0.25">
      <c r="A32" t="s">
        <v>1102</v>
      </c>
    </row>
    <row r="33" spans="1:7" x14ac:dyDescent="0.25">
      <c r="C33" s="189">
        <v>78309.789999999994</v>
      </c>
      <c r="D33" s="189">
        <v>69121.919999999998</v>
      </c>
      <c r="E33" s="189">
        <v>62793.14</v>
      </c>
      <c r="F33" s="189">
        <v>74349.289999999994</v>
      </c>
      <c r="G33" s="189">
        <v>284574.14</v>
      </c>
    </row>
    <row r="34" spans="1:7" x14ac:dyDescent="0.25">
      <c r="A34" t="s">
        <v>1103</v>
      </c>
    </row>
    <row r="35" spans="1:7" x14ac:dyDescent="0.25">
      <c r="C35" s="189">
        <v>71732.3</v>
      </c>
      <c r="D35" s="189">
        <v>66355.710000000006</v>
      </c>
      <c r="E35" s="189">
        <v>61993.4</v>
      </c>
      <c r="F35" s="189">
        <v>57208.46</v>
      </c>
      <c r="G35" s="189">
        <v>257289.87</v>
      </c>
    </row>
    <row r="36" spans="1:7" x14ac:dyDescent="0.25">
      <c r="A36" t="s">
        <v>1104</v>
      </c>
    </row>
    <row r="37" spans="1:7" x14ac:dyDescent="0.25">
      <c r="C37" s="189">
        <v>424723.11</v>
      </c>
      <c r="D37" s="189">
        <v>395828.03</v>
      </c>
      <c r="E37" s="189">
        <v>429657.89</v>
      </c>
      <c r="F37" s="189">
        <v>457217.36</v>
      </c>
      <c r="G37" s="189">
        <v>1707426.39</v>
      </c>
    </row>
    <row r="38" spans="1:7" x14ac:dyDescent="0.25">
      <c r="A38" t="s">
        <v>1105</v>
      </c>
    </row>
    <row r="39" spans="1:7" x14ac:dyDescent="0.25">
      <c r="C39" s="189">
        <v>93418.65</v>
      </c>
      <c r="D39" s="189">
        <v>72245.03</v>
      </c>
      <c r="E39" s="189">
        <v>80088.42</v>
      </c>
      <c r="F39" s="189">
        <v>80990.990000000005</v>
      </c>
      <c r="G39" s="189">
        <v>326743.09000000003</v>
      </c>
    </row>
    <row r="40" spans="1:7" x14ac:dyDescent="0.25">
      <c r="A40" t="s">
        <v>1106</v>
      </c>
    </row>
    <row r="41" spans="1:7" x14ac:dyDescent="0.25">
      <c r="C41" s="189">
        <v>66854.880000000005</v>
      </c>
      <c r="D41" s="189">
        <v>43970.53</v>
      </c>
      <c r="E41" s="189">
        <v>47665.65</v>
      </c>
      <c r="F41" s="189">
        <v>51911.94</v>
      </c>
      <c r="G41" s="189">
        <v>210403</v>
      </c>
    </row>
    <row r="42" spans="1:7" x14ac:dyDescent="0.25">
      <c r="A42" t="s">
        <v>1107</v>
      </c>
    </row>
    <row r="43" spans="1:7" x14ac:dyDescent="0.25">
      <c r="C43" s="189">
        <v>4343603.46</v>
      </c>
      <c r="D43" s="189">
        <v>4264255.13</v>
      </c>
      <c r="E43" s="189">
        <v>4177289.48</v>
      </c>
      <c r="F43" s="189">
        <v>4253762.2300000004</v>
      </c>
      <c r="G43" s="189">
        <v>17038910.300000001</v>
      </c>
    </row>
    <row r="44" spans="1:7" x14ac:dyDescent="0.25">
      <c r="A44" s="41" t="s">
        <v>1108</v>
      </c>
    </row>
    <row r="45" spans="1:7" x14ac:dyDescent="0.25">
      <c r="C45" s="189">
        <v>407763.24</v>
      </c>
      <c r="D45" s="189">
        <v>338365.15</v>
      </c>
      <c r="E45" s="189">
        <v>350024.8</v>
      </c>
      <c r="F45" s="189">
        <v>372678.35</v>
      </c>
      <c r="G45" s="189">
        <v>1468831.54</v>
      </c>
    </row>
    <row r="46" spans="1:7" x14ac:dyDescent="0.25">
      <c r="A46" t="s">
        <v>1109</v>
      </c>
    </row>
    <row r="47" spans="1:7" x14ac:dyDescent="0.25">
      <c r="C47" s="189">
        <v>83492.12</v>
      </c>
      <c r="D47" s="189">
        <v>71678.7</v>
      </c>
      <c r="E47" s="189">
        <v>73776.58</v>
      </c>
      <c r="F47" s="189">
        <v>72262.710000000006</v>
      </c>
      <c r="G47" s="189">
        <v>301210.11</v>
      </c>
    </row>
    <row r="48" spans="1:7" x14ac:dyDescent="0.25">
      <c r="A48" s="41" t="s">
        <v>1110</v>
      </c>
    </row>
    <row r="49" spans="1:7" x14ac:dyDescent="0.25">
      <c r="C49" s="189">
        <v>526998.13</v>
      </c>
      <c r="D49" s="189">
        <v>430183.98</v>
      </c>
      <c r="E49" s="189">
        <v>420913.15</v>
      </c>
      <c r="F49" s="189">
        <v>462056.45</v>
      </c>
      <c r="G49" s="189">
        <v>1840151.71</v>
      </c>
    </row>
    <row r="50" spans="1:7" x14ac:dyDescent="0.25">
      <c r="A50" t="s">
        <v>1111</v>
      </c>
    </row>
    <row r="51" spans="1:7" x14ac:dyDescent="0.25">
      <c r="C51" s="189">
        <v>123574.42</v>
      </c>
      <c r="D51" s="189">
        <v>101691.99</v>
      </c>
      <c r="E51" s="189">
        <v>107384.82</v>
      </c>
      <c r="F51" s="189">
        <v>115498.05</v>
      </c>
      <c r="G51" s="189">
        <v>448149.28</v>
      </c>
    </row>
    <row r="52" spans="1:7" x14ac:dyDescent="0.25">
      <c r="A52" t="s">
        <v>1112</v>
      </c>
    </row>
    <row r="53" spans="1:7" x14ac:dyDescent="0.25">
      <c r="C53" s="189">
        <v>165443.76</v>
      </c>
      <c r="D53" s="189">
        <v>132687.69</v>
      </c>
      <c r="E53" s="189">
        <v>128917.9</v>
      </c>
      <c r="F53" s="189">
        <v>147518.79999999999</v>
      </c>
      <c r="G53" s="189">
        <v>574568.15</v>
      </c>
    </row>
    <row r="54" spans="1:7" x14ac:dyDescent="0.25">
      <c r="A54" t="s">
        <v>1113</v>
      </c>
    </row>
    <row r="55" spans="1:7" x14ac:dyDescent="0.25">
      <c r="C55" s="189">
        <v>4318587.5</v>
      </c>
      <c r="D55" s="189">
        <v>3522245.94</v>
      </c>
      <c r="E55" s="189">
        <v>4187725.11</v>
      </c>
      <c r="F55" s="189">
        <v>4069339.9</v>
      </c>
      <c r="G55" s="189">
        <v>16097898.449999999</v>
      </c>
    </row>
    <row r="56" spans="1:7" x14ac:dyDescent="0.25">
      <c r="A56" t="s">
        <v>1114</v>
      </c>
    </row>
    <row r="57" spans="1:7" x14ac:dyDescent="0.25">
      <c r="C57" s="189">
        <v>728956.54</v>
      </c>
      <c r="D57" s="189">
        <v>475722.95</v>
      </c>
      <c r="E57" s="189">
        <v>596569.21</v>
      </c>
      <c r="F57" s="189">
        <v>606216.5</v>
      </c>
      <c r="G57" s="189">
        <v>2407465.2000000002</v>
      </c>
    </row>
    <row r="58" spans="1:7" x14ac:dyDescent="0.25">
      <c r="A58" t="s">
        <v>1115</v>
      </c>
    </row>
    <row r="59" spans="1:7" x14ac:dyDescent="0.25">
      <c r="C59" s="189">
        <v>193352.25</v>
      </c>
      <c r="D59" s="189">
        <v>181825.28</v>
      </c>
      <c r="E59" s="189">
        <v>202229.15</v>
      </c>
      <c r="F59" s="189">
        <v>212216.33</v>
      </c>
      <c r="G59" s="189">
        <v>789623.01</v>
      </c>
    </row>
    <row r="60" spans="1:7" x14ac:dyDescent="0.25">
      <c r="A60" t="s">
        <v>1116</v>
      </c>
    </row>
    <row r="61" spans="1:7" x14ac:dyDescent="0.25">
      <c r="C61" s="189">
        <v>295513.12</v>
      </c>
      <c r="D61" s="189">
        <v>301905.71999999997</v>
      </c>
      <c r="E61" s="189">
        <v>329492.25</v>
      </c>
      <c r="F61" s="189">
        <v>364826.44</v>
      </c>
      <c r="G61" s="189">
        <v>1291737.53</v>
      </c>
    </row>
    <row r="62" spans="1:7" x14ac:dyDescent="0.25">
      <c r="A62" t="s">
        <v>1117</v>
      </c>
    </row>
    <row r="63" spans="1:7" x14ac:dyDescent="0.25">
      <c r="C63" s="189">
        <v>155502.22</v>
      </c>
      <c r="D63" s="189">
        <v>155219.17000000001</v>
      </c>
      <c r="E63" s="189">
        <v>121883.11</v>
      </c>
      <c r="F63" s="189">
        <v>110682.84</v>
      </c>
      <c r="G63" s="189">
        <v>543287.34</v>
      </c>
    </row>
    <row r="64" spans="1:7" x14ac:dyDescent="0.25">
      <c r="A64" t="s">
        <v>1118</v>
      </c>
    </row>
    <row r="65" spans="1:11" x14ac:dyDescent="0.25">
      <c r="C65" s="189">
        <v>155502.22</v>
      </c>
      <c r="D65" s="189">
        <v>155219.17000000001</v>
      </c>
      <c r="E65" s="189">
        <v>121883.11</v>
      </c>
      <c r="F65" s="189">
        <v>110682.84</v>
      </c>
      <c r="G65" s="189">
        <v>543287.34</v>
      </c>
    </row>
    <row r="66" spans="1:11" s="77" customFormat="1" ht="8.25" x14ac:dyDescent="0.15"/>
    <row r="67" spans="1:11" x14ac:dyDescent="0.25">
      <c r="A67" s="43" t="s">
        <v>1119</v>
      </c>
      <c r="B67" s="43"/>
      <c r="C67" s="202">
        <f>SUM(C11:C65)</f>
        <v>163276997.43000004</v>
      </c>
      <c r="D67" s="202">
        <f>SUM(D11:D65)</f>
        <v>177899092.30999994</v>
      </c>
      <c r="E67" s="202">
        <f>SUM(E11:E65)</f>
        <v>193329245.71000001</v>
      </c>
      <c r="F67" s="202">
        <f>SUM(F11:F65)</f>
        <v>206240093.03000006</v>
      </c>
      <c r="G67" s="202">
        <f>SUM(G11:G65)</f>
        <v>740745428.48000014</v>
      </c>
      <c r="J67" s="203"/>
      <c r="K67" s="203"/>
    </row>
    <row r="68" spans="1:11" s="77" customFormat="1" ht="8.25" x14ac:dyDescent="0.15">
      <c r="C68" s="153">
        <f>163276997.43-C67</f>
        <v>0</v>
      </c>
      <c r="D68" s="153">
        <f>177899092.31-D67</f>
        <v>0</v>
      </c>
      <c r="E68" s="153">
        <f>193329245.71-E67</f>
        <v>0</v>
      </c>
      <c r="F68" s="153">
        <f>206240093.03-F67</f>
        <v>0</v>
      </c>
      <c r="G68" s="153">
        <f>740745428.48-G67</f>
        <v>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Tabela 01</vt:lpstr>
      <vt:lpstr>Tabela 02</vt:lpstr>
      <vt:lpstr>Tabela 03</vt:lpstr>
      <vt:lpstr>Tabela 04</vt:lpstr>
      <vt:lpstr>Tabela 05</vt:lpstr>
      <vt:lpstr>Tabela 06</vt:lpstr>
      <vt:lpstr>Tabela 07</vt:lpstr>
      <vt:lpstr>Tabela 08</vt:lpstr>
      <vt:lpstr>Tabela 09</vt:lpstr>
      <vt:lpstr>Estudos_Rec</vt:lpstr>
      <vt:lpstr>Detal_1</vt:lpstr>
      <vt:lpstr>Det_2RecProp</vt:lpstr>
      <vt:lpstr>RecPref</vt:lpstr>
      <vt:lpstr>Dist_p_Órgão</vt:lpstr>
      <vt:lpstr>'Tabela 03'!Area_de_impressao</vt:lpstr>
      <vt:lpstr>'Tabela 04'!Area_de_impressao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Rose</cp:lastModifiedBy>
  <cp:lastPrinted>2021-10-20T12:52:57Z</cp:lastPrinted>
  <dcterms:created xsi:type="dcterms:W3CDTF">2021-04-26T13:47:55Z</dcterms:created>
  <dcterms:modified xsi:type="dcterms:W3CDTF">2021-10-20T12:52:58Z</dcterms:modified>
</cp:coreProperties>
</file>