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activeTab="1"/>
  </bookViews>
  <sheets>
    <sheet name="BDI" sheetId="1" r:id="rId1"/>
    <sheet name="Orçamento" sheetId="2" r:id="rId2"/>
    <sheet name="Cronograma" sheetId="3" r:id="rId3"/>
    <sheet name="Plan2" sheetId="4" r:id="rId4"/>
    <sheet name="INCC DI" sheetId="5" r:id="rId5"/>
    <sheet name="equipamentos" sheetId="6" r:id="rId6"/>
    <sheet name="Plan1" sheetId="7" r:id="rId7"/>
  </sheets>
  <externalReferences>
    <externalReference r:id="rId10"/>
  </externalReferences>
  <definedNames>
    <definedName name="_xlnm.Print_Area" localSheetId="0">'BDI'!$B$2:$E$42</definedName>
    <definedName name="_xlnm.Print_Area" localSheetId="2">'Cronograma'!$A$1:$L$24</definedName>
    <definedName name="_xlnm.Print_Area" localSheetId="1">'Orçamento'!$A$1:$I$52</definedName>
    <definedName name="BDI.Opcao" hidden="1">'[1]DADOS'!$F$18</definedName>
  </definedNames>
  <calcPr fullCalcOnLoad="1"/>
</workbook>
</file>

<file path=xl/sharedStrings.xml><?xml version="1.0" encoding="utf-8"?>
<sst xmlns="http://schemas.openxmlformats.org/spreadsheetml/2006/main" count="476" uniqueCount="228">
  <si>
    <t>Ítem</t>
  </si>
  <si>
    <t>Descrição</t>
  </si>
  <si>
    <t>cj</t>
  </si>
  <si>
    <t>1º</t>
  </si>
  <si>
    <t>2º</t>
  </si>
  <si>
    <t>Total</t>
  </si>
  <si>
    <t>%</t>
  </si>
  <si>
    <t>Município - Caçapava do Sul - RS</t>
  </si>
  <si>
    <t>Serviços</t>
  </si>
  <si>
    <t>Preço Unitário</t>
  </si>
  <si>
    <t>Preço Total</t>
  </si>
  <si>
    <t>Total Acumulado</t>
  </si>
  <si>
    <t>Meses de Execução</t>
  </si>
  <si>
    <t>CRONOGRAMA FÍSICO FINANCEIRO</t>
  </si>
  <si>
    <t>ORÇAMENTO DE OBRAS PADRONIZADO</t>
  </si>
  <si>
    <t>Serviços Preliminares</t>
  </si>
  <si>
    <t xml:space="preserve"> </t>
  </si>
  <si>
    <t>R$</t>
  </si>
  <si>
    <t>Quant.</t>
  </si>
  <si>
    <t>Tatal da parcela:</t>
  </si>
  <si>
    <t>Código</t>
  </si>
  <si>
    <t>ACADEMIA DE SAÚDE AO AR LIVRE - BAIRRO FLORESTA</t>
  </si>
  <si>
    <t>LAL 03 Twisth Triplo</t>
  </si>
  <si>
    <t>LAL 62 Jogo de Barras ao ar livre</t>
  </si>
  <si>
    <t>LAL 15 Peitoral Duplo</t>
  </si>
  <si>
    <t>3º</t>
  </si>
  <si>
    <t>LAL 57 Banco simples de ferro</t>
  </si>
  <si>
    <t>Giovani Amestoy da Silva</t>
  </si>
  <si>
    <t>Prefeito Municipal</t>
  </si>
  <si>
    <t>Helmesona de O. Santana - engenheira civil</t>
  </si>
  <si>
    <t>CREA RS152843</t>
  </si>
  <si>
    <t>Cercamento em tela</t>
  </si>
  <si>
    <t>s/BDI</t>
  </si>
  <si>
    <t>c/BDI</t>
  </si>
  <si>
    <t>Composição</t>
  </si>
  <si>
    <t>SINAPI</t>
  </si>
  <si>
    <t>PLACA DE OBRA EM CHAPA DE AÇO GALVANIZADO</t>
  </si>
  <si>
    <t>M2</t>
  </si>
  <si>
    <t>93358</t>
  </si>
  <si>
    <t>ESCAVAÇÃO MANUAL DE VALA COM PROFUNDIDADE MENOR OU IGUAL A 1,30 M. AF_02/2021</t>
  </si>
  <si>
    <t>M3</t>
  </si>
  <si>
    <t>SINAPI-I</t>
  </si>
  <si>
    <t>4948</t>
  </si>
  <si>
    <t>100758</t>
  </si>
  <si>
    <t>PINTURA COM TINTA ALQUÍDICA DE ACABAMENTO (ESMALTE SINTÉTICO ACETINADO) APLICADA A ROLO OU PINCEL SOBRE SUPERFÍCIES METÁLICAS (EXCETO PERFIL) EXECUTADO EM OBRA (02 DEMÃOS). AF_01/2020</t>
  </si>
  <si>
    <t>100722</t>
  </si>
  <si>
    <t>PINTURA COM TINTA ALQUÍDICA DE FUNDO (TIPO ZARCÃO) APLICADA A ROLO OU PINCEL SOBRE SUPERFÍCIES METÁLICAS (EXCETO PERFIL) EXECUTADO EM OBRA (POR DEMÃO). AF_01/2020</t>
  </si>
  <si>
    <t>LAL 08 Extensor Lombar duplo</t>
  </si>
  <si>
    <t>LAL 18 Abdominal Duplo</t>
  </si>
  <si>
    <t>LAL 35 Esquiador Triplo</t>
  </si>
  <si>
    <t>LAL 60 Bicicleta Tripla Cadeira</t>
  </si>
  <si>
    <t>SUBSTITUIR</t>
  </si>
  <si>
    <t>PINTURA</t>
  </si>
  <si>
    <t>SOLDA, OLEO, PARAFUSOS E PINTURA</t>
  </si>
  <si>
    <t>PINTURA, PARAFUSOS E OLEO</t>
  </si>
  <si>
    <t>LAL 54 Giro vertical com diagonal com volante</t>
  </si>
  <si>
    <t>PEDAIS, PARAFUSOS, OLEO E PINTURA</t>
  </si>
  <si>
    <t>PUXADOR, PARAFUSO, OLEO, PINTURA</t>
  </si>
  <si>
    <t>SUBSTITUIÇÃO PARCIAL</t>
  </si>
  <si>
    <t>DEF 03 Máquina Puxada Alta APADEF PNE</t>
  </si>
  <si>
    <t>DEF 07 Máquina Twist APADEF PNE</t>
  </si>
  <si>
    <t>DEF 11 Giro De Punho Triplo - PNE</t>
  </si>
  <si>
    <t>PINTURA, OLEO, PARAFUSOS, FIXAÇÃO CONCRETO</t>
  </si>
  <si>
    <t>SUBSTITUIÇÃO PARCIAL  - REFERENCIA 17/02/2014</t>
  </si>
  <si>
    <t>REFORMA - REFERENCIA 17/02/2014</t>
  </si>
  <si>
    <t>Unid</t>
  </si>
  <si>
    <t>PORTAO DE ABRIR / GIRO, EM GRADIL DE METALON REDONDO DE 3/4"  VERTICAL, COM REQUADRO, ACABAMENTO NATURAL - COMPLETO (1,20x2,20m)</t>
  </si>
  <si>
    <t>UN</t>
  </si>
  <si>
    <t>101666</t>
  </si>
  <si>
    <t>REFLETOR RETANGULAR FECHADO, COM LÂMPADA VAPOR METÁLICO 400 W - FORNECIMENTO E INSTALAÇÃO. AF_08/2020</t>
  </si>
  <si>
    <t>TOTAL GERAL DO ORÇAMENTO</t>
  </si>
  <si>
    <t>BDI 15% FORNECIMENTO - BDI 25% SERVIÇOS</t>
  </si>
  <si>
    <r>
      <t>LAL 30 Placa Externa (</t>
    </r>
    <r>
      <rPr>
        <sz val="10"/>
        <rFont val="Arial Narrow"/>
        <family val="2"/>
      </rPr>
      <t>aparelhos musculação</t>
    </r>
    <r>
      <rPr>
        <sz val="10"/>
        <rFont val="Arial"/>
        <family val="2"/>
      </rPr>
      <t>) (2x1m)</t>
    </r>
  </si>
  <si>
    <r>
      <t>LAL 31 Placa Externa (</t>
    </r>
    <r>
      <rPr>
        <sz val="10"/>
        <rFont val="Arial Narrow"/>
        <family val="2"/>
      </rPr>
      <t>exercício p/alongamento</t>
    </r>
    <r>
      <rPr>
        <sz val="10"/>
        <rFont val="Arial"/>
        <family val="2"/>
      </rPr>
      <t>) (2x1)</t>
    </r>
  </si>
  <si>
    <t>SINAPI - REFERÊNCIA 01-2023</t>
  </si>
  <si>
    <t>COMPOSIÇÃO PARAMÉTRICA DE PONTO ELÉTRICO DE ILUMINAÇÃO, COM INTERRUPTOR SIMPLES, EM EDIFÍCIO RESIDENCIAL COM ELETRODUTO EMBUTIDO EM RASGOS NAS PAREDES, INCLUSO TOMADA, ELETRODUTO, CABO, RASGO E CHUMBAMENTO (SEM LUMINÁRIA E LÂMPADA). AF_11/2022</t>
  </si>
  <si>
    <t>Rua João Farias de Oliveira Lima - Areião</t>
  </si>
  <si>
    <t>ALONGADOR COM TRES ALTURAS, EM TUBO DE ACO CARBONO, PINTURA NO PROCESSO ELETROSTATICO - EQUIPAMENTO DE GINASTICA PARA ACADEMIA AO AR LIVRE / ACADEMIA DA TERCEIRA IDADE - ATI</t>
  </si>
  <si>
    <t xml:space="preserve">UN    </t>
  </si>
  <si>
    <t>2.251,00</t>
  </si>
  <si>
    <t>BANCO COM ENCOSTO, 1,60M* DE COMPRIMENTO, EM TUBO DE ACO CARBONO E PINTURA NO PROCESSO ELETROSTATICO - PARA ACADEMIA AO AR LIVRE / ACADEMIA DA TERCEIRA IDADE - ATI</t>
  </si>
  <si>
    <t>1.197,21</t>
  </si>
  <si>
    <t>1.1</t>
  </si>
  <si>
    <t>2.1</t>
  </si>
  <si>
    <t>2.2</t>
  </si>
  <si>
    <t>2.3</t>
  </si>
  <si>
    <t>3.1</t>
  </si>
  <si>
    <t>3.2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</si>
  <si>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</si>
  <si>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</si>
  <si>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</si>
  <si>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</si>
  <si>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</si>
  <si>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</si>
  <si>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</si>
  <si>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</si>
  <si>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</si>
  <si>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</si>
  <si>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</si>
  <si>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</si>
  <si>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</si>
  <si>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5.13</t>
  </si>
  <si>
    <t>5.15</t>
  </si>
  <si>
    <t>5.16</t>
  </si>
  <si>
    <t>MUL 2 Lixeira Dupla Aço 60L</t>
  </si>
  <si>
    <t>Base de concreto p/fixação equipamentos, e=50cm sobre lastro de brita e=10cm, armado com tela soldada 5mm malha 10x10, fck 20MPa</t>
  </si>
  <si>
    <t>SUBSTITUIÇÃO</t>
  </si>
  <si>
    <t>A/M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</si>
  <si>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</si>
  <si>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</si>
  <si>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</si>
  <si>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</si>
  <si>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</si>
  <si>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</si>
  <si>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</si>
  <si>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</si>
  <si>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</si>
  <si>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</si>
  <si>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</si>
  <si>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</si>
  <si>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</si>
  <si>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(-)0,02%</t>
  </si>
  <si>
    <t>ACUMULAD</t>
  </si>
  <si>
    <t xml:space="preserve">LAL 18 Abdominal Duplo </t>
  </si>
  <si>
    <t>(substituir)</t>
  </si>
  <si>
    <t xml:space="preserve">LAL 35 Esquiador Triplo </t>
  </si>
  <si>
    <t>LAL 57 Banco de ferro com encosto</t>
  </si>
  <si>
    <t>5.17</t>
  </si>
  <si>
    <t>DEF 11 Rotação vertical duplo</t>
  </si>
  <si>
    <t>LAL 03 Multiexercitador com seis funções</t>
  </si>
  <si>
    <t>m2</t>
  </si>
  <si>
    <t>(reforma)</t>
  </si>
  <si>
    <t>(reforma e adesivo)</t>
  </si>
  <si>
    <r>
      <t>LAL 31 Placa Externa (</t>
    </r>
    <r>
      <rPr>
        <sz val="10"/>
        <rFont val="Arial Narrow"/>
        <family val="2"/>
      </rPr>
      <t>exercício p/alongamento</t>
    </r>
    <r>
      <rPr>
        <sz val="10"/>
        <rFont val="Arial"/>
        <family val="2"/>
      </rPr>
      <t>) (2x1m)</t>
    </r>
  </si>
  <si>
    <t>DEF 03 Máquina puxada alta Apadef PNE</t>
  </si>
  <si>
    <t>5.18</t>
  </si>
  <si>
    <t>5.19</t>
  </si>
  <si>
    <t>(acrescentar)</t>
  </si>
  <si>
    <t>102364</t>
  </si>
  <si>
    <t>ALAMBRADO PARA QUADRA POLIESPORTIVA, ESTRUTURADO POR TUBOS DE ACO GALVANIZADO, (MONTANTES COM DIAMETRO 2", TRAVESSAS E ESCORAS COM DIÂMETRO 1 ¼), COM TELA DE ARAME GALVANIZADO, FIO 10 BWG E MALHA QUADRADA 5X5CM (EXCETO MURETA). AF_03/2021</t>
  </si>
  <si>
    <r>
      <t>LAL 30 Placa Externa (</t>
    </r>
    <r>
      <rPr>
        <sz val="10"/>
        <rFont val="Arial Narrow"/>
        <family val="2"/>
      </rPr>
      <t>aparelhos musculação</t>
    </r>
    <r>
      <rPr>
        <sz val="10"/>
        <rFont val="Arial"/>
        <family val="2"/>
      </rPr>
      <t>)</t>
    </r>
  </si>
  <si>
    <r>
      <t>LAL 31 Placa Externa (</t>
    </r>
    <r>
      <rPr>
        <sz val="10"/>
        <rFont val="Arial Narrow"/>
        <family val="2"/>
      </rPr>
      <t>exercício p/alongamento</t>
    </r>
    <r>
      <rPr>
        <sz val="10"/>
        <rFont val="Arial"/>
        <family val="2"/>
      </rPr>
      <t>)</t>
    </r>
  </si>
  <si>
    <t>Placa de orientação 2x1m</t>
  </si>
  <si>
    <t>REFERENCIA 17/02/2014</t>
  </si>
  <si>
    <t>Caçapava do Sul - RS, 25 de maio de 2023</t>
  </si>
  <si>
    <t>103800</t>
  </si>
  <si>
    <t>PEDRA ARGAMASSADA COM CIMENTO E AREIA 1:3, 40% DE ARGAMASSA EM VOLUME - AREIA E PEDRA DE MÃO COMERCIAIS - FORNECIMENTO E ASSENTAMENTO. AF_08/2022</t>
  </si>
  <si>
    <t>103334</t>
  </si>
  <si>
    <t>ALVENARIA DE VEDAÇÃO DE BLOCOS CERÂMICOS FURADOS NA HORIZONTAL DE 14X9X19 CM (ESPESSURA 14 CM, BLOCO DEITADO) E ARGAMASSA DE ASSENTAMENTO COM PREPARO EM BETONEIRA. AF_12/2021</t>
  </si>
  <si>
    <t>2.4</t>
  </si>
  <si>
    <t>2.5</t>
  </si>
  <si>
    <t>2.6</t>
  </si>
  <si>
    <t>87905</t>
  </si>
  <si>
    <t>CHAPISCO APLICADO EM ALVENARIA (COM PRESENÇA DE VÃOS) E ESTRUTURAS DE CONCRETO DE FACHADA, COM COLHER DE PEDREIRO.  ARGAMASSA TRAÇO 1:3 COM PREPARO EM BETONEIRA 400L. AF_10/2022</t>
  </si>
  <si>
    <t>3.3</t>
  </si>
  <si>
    <t>2.7</t>
  </si>
  <si>
    <t>87794</t>
  </si>
  <si>
    <t>EMBOÇO OU MASSA ÚNICA EM ARGAMASSA TRAÇO 1:2:8, PREPARO MANUAL, APLICADA MANUALMENTE EM PANOS CEGOS DE FACHADA (SEM PRESENÇA DE VÃOS), ESPESSURA DE 25 MM. AF_09/2022</t>
  </si>
  <si>
    <t>3.4</t>
  </si>
  <si>
    <t>88415</t>
  </si>
  <si>
    <t>APLICAÇÃO MANUAL DE FUNDO SELADOR ACRÍLICO EM PAREDES EXTERNAS DE CASAS. AF_06/2014</t>
  </si>
  <si>
    <t>SERVIÇOS PRELIMINARES</t>
  </si>
  <si>
    <t>CERCAMENTO EM TELA</t>
  </si>
  <si>
    <t>Portão</t>
  </si>
  <si>
    <t>Mureta</t>
  </si>
  <si>
    <t>ILUMINAÇÃO</t>
  </si>
  <si>
    <t>104642</t>
  </si>
  <si>
    <t>PINTURA LÁTEX ACRÍLICA STANDARD, APLICAÇÃO MANUAL EM PAREDES, DUAS DEMÃOS. AF_04/2023</t>
  </si>
  <si>
    <t>Equipamentos para Ginástica - reforma e substituição</t>
  </si>
  <si>
    <t>SUBTOTAL 1 - SERVIÇOS</t>
  </si>
  <si>
    <t>SUBTOTAL 2 - EQUIPAMENTOS</t>
  </si>
  <si>
    <t>Helmesona de O. Santana - Engenheira Civil</t>
  </si>
  <si>
    <t>ALAMBRADO PARA QUADRA POLIESPORTIVA, ESTRUTURADO POR TUBOS DE ACO GALVANIZADO, (MONTANTES COM DIAMETRO 2", TRAVESSAS E ESCORAS COM DIÂMETRO 1 ¼), COM TELA DE ARAME GALVANIZADO, FIO 12 BWG E MALHA QUADRADA 5X5CM (EXCETO MURETA). AF_03/2021</t>
  </si>
  <si>
    <t>Tubos do alambrado</t>
  </si>
  <si>
    <t>PLACA DE OBRA EM CHAPA DE AÇO GALVANIZADO (2,20m x 1,10m)</t>
  </si>
  <si>
    <t>REFORMA DO SANITÁRIO EXISTENTE</t>
  </si>
  <si>
    <t>87273</t>
  </si>
  <si>
    <t>87249</t>
  </si>
  <si>
    <t>REVESTIMENTO CERÂMICO PARA PAREDES INTERNAS COM PLACAS TIPO ESMALTADA EXTRA  DE DIMENSÕES 33X45 CM APLICADAS NA ALTURA INTEIRA DAS PAREDES. AF_02/2023_PE</t>
  </si>
  <si>
    <t>REVESTIMENTO CERÂMICO PARA PISO COM PLACAS TIPO ESMALTADA EXTRA DE DIMENSÕES 45X45 CM APLICADA EM AMBIENTES DE ÁREA MENOR QUE 5 M2. AF_02/2023_PE</t>
  </si>
  <si>
    <t>11822</t>
  </si>
  <si>
    <t xml:space="preserve">TORNEIRA PLASTICA DE MESA, BICA MOVEL, PARA COZINHA 1/2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</si>
  <si>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89957</t>
  </si>
  <si>
    <t>PONTO DE CONSUMO TERMINAL DE ÁGUA FRIA (SUBRAMAL) COM TUBULAÇÃO DE PVC, DN 25 MM, INSTALADO EM RAMAL DE ÁGUA, INCLUSOS RASGO E CHUMBAMENTO EM ALVENARIA. AF_12/2014</t>
  </si>
  <si>
    <t>Pintura</t>
  </si>
  <si>
    <t>ILuminação</t>
  </si>
  <si>
    <t>Reforma do sanitário existente</t>
  </si>
  <si>
    <t>BONIFICAÇÃO E DESPESAS INDIRETAS - BDI</t>
  </si>
  <si>
    <t>I - Formula adotada pela Prefeitura Municipal de Caçapava do Sul:</t>
  </si>
  <si>
    <r>
      <t xml:space="preserve">TIPO DE OBRA: </t>
    </r>
    <r>
      <rPr>
        <sz val="11"/>
        <color indexed="8"/>
        <rFont val="Calibri"/>
        <family val="2"/>
      </rPr>
      <t>Fornecimento de materiais e equipamentos</t>
    </r>
  </si>
  <si>
    <r>
      <t>DESONERAÇÃO:</t>
    </r>
    <r>
      <rPr>
        <sz val="11"/>
        <color indexed="8"/>
        <rFont val="Calibri"/>
        <family val="2"/>
      </rPr>
      <t xml:space="preserve"> Sim</t>
    </r>
  </si>
  <si>
    <r>
      <t xml:space="preserve">PERCENTUAL DE BASE PARA CÁLCULO DE ISS: </t>
    </r>
    <r>
      <rPr>
        <sz val="11"/>
        <color indexed="8"/>
        <rFont val="Calibri"/>
        <family val="2"/>
      </rPr>
      <t>100%</t>
    </r>
  </si>
  <si>
    <r>
      <t xml:space="preserve">ALÍQUOTA DE ISS valor entre 2% e 5%:  </t>
    </r>
    <r>
      <rPr>
        <sz val="11"/>
        <color indexed="8"/>
        <rFont val="Calibri"/>
        <family val="2"/>
      </rPr>
      <t>3,00%</t>
    </r>
  </si>
  <si>
    <t>II</t>
  </si>
  <si>
    <t>DESCRIÇÃO</t>
  </si>
  <si>
    <t>A</t>
  </si>
  <si>
    <t>Administração central</t>
  </si>
  <si>
    <t>B</t>
  </si>
  <si>
    <t>Seguro e Garantia</t>
  </si>
  <si>
    <t>C</t>
  </si>
  <si>
    <t>Risco</t>
  </si>
  <si>
    <t>D</t>
  </si>
  <si>
    <t>Despesas financeiras</t>
  </si>
  <si>
    <t>E</t>
  </si>
  <si>
    <t>Lucro</t>
  </si>
  <si>
    <t>F</t>
  </si>
  <si>
    <t>Tributos (impostos CONFINS 3%, e PIS 0,65%)</t>
  </si>
  <si>
    <t>G</t>
  </si>
  <si>
    <t>Tributos de ISS</t>
  </si>
  <si>
    <t>H</t>
  </si>
  <si>
    <t xml:space="preserve">Tributos </t>
  </si>
  <si>
    <t>III</t>
  </si>
  <si>
    <t>ENCARGOS SOCIAIS</t>
  </si>
  <si>
    <t>J</t>
  </si>
  <si>
    <t>Encargos sociais s/ salário hora - horista desonerado</t>
  </si>
  <si>
    <t>Obra:</t>
  </si>
  <si>
    <t>REFORMA ESCOLA PADRE FIDÊNCIO - BRIZOLETA</t>
  </si>
  <si>
    <t>Data Base:</t>
  </si>
  <si>
    <t>RESPONSÁVEIS</t>
  </si>
  <si>
    <t>_____________________________________________</t>
  </si>
  <si>
    <t>Helmesona de O. Santana - Engª. Civil CREA RS152843</t>
  </si>
  <si>
    <t>B.D.I. (%) - DESONERADO</t>
  </si>
  <si>
    <t>K</t>
  </si>
  <si>
    <t>Encargos sociais s/ salário mês - mensalista desonerado</t>
  </si>
  <si>
    <t>ABRIL/2023</t>
  </si>
  <si>
    <t>Caçapava do Sul-RS, 25 de maio de 2023</t>
  </si>
  <si>
    <t>Giovani Amestoy da Silva - Prefeito Municipal</t>
  </si>
  <si>
    <t>BDI 15% FORNECIMENTO - BDI 24,23% SERVIÇOS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</si>
</sst>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0.0000"/>
    <numFmt numFmtId="180" formatCode="0.000"/>
    <numFmt numFmtId="181" formatCode="_(* #,##0.0_);_(* \(#,##0.0\);_(* &quot;-&quot;?_);_(@_)"/>
    <numFmt numFmtId="182" formatCode="_(* #,##0.000_);_(* \(#,##0.000\);_(* &quot;-&quot;??_);_(@_)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Ativado&quot;;&quot;Ativado&quot;;&quot;Desativado&quot;"/>
    <numFmt numFmtId="189" formatCode="0.0%"/>
  </numFmts>
  <fonts count="6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1"/>
      <family val="0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DBCF"/>
        <bgColor indexed="64"/>
      </patternFill>
    </fill>
    <fill>
      <patternFill patternType="solid">
        <fgColor rgb="FFFAF3E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78" fontId="0" fillId="0" borderId="0" xfId="65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171" fontId="5" fillId="0" borderId="10" xfId="65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33" borderId="11" xfId="0" applyFont="1" applyFill="1" applyBorder="1" applyAlignment="1">
      <alignment horizontal="right"/>
    </xf>
    <xf numFmtId="171" fontId="6" fillId="33" borderId="12" xfId="0" applyNumberFormat="1" applyFont="1" applyFill="1" applyBorder="1" applyAlignment="1">
      <alignment/>
    </xf>
    <xf numFmtId="171" fontId="6" fillId="33" borderId="13" xfId="0" applyNumberFormat="1" applyFont="1" applyFill="1" applyBorder="1" applyAlignment="1">
      <alignment horizontal="center"/>
    </xf>
    <xf numFmtId="178" fontId="4" fillId="33" borderId="14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171" fontId="6" fillId="33" borderId="16" xfId="65" applyFont="1" applyFill="1" applyBorder="1" applyAlignment="1">
      <alignment/>
    </xf>
    <xf numFmtId="171" fontId="4" fillId="0" borderId="16" xfId="0" applyNumberFormat="1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171" fontId="4" fillId="0" borderId="10" xfId="65" applyFont="1" applyBorder="1" applyAlignment="1">
      <alignment/>
    </xf>
    <xf numFmtId="171" fontId="6" fillId="33" borderId="16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21" xfId="0" applyFont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171" fontId="0" fillId="0" borderId="10" xfId="0" applyNumberFormat="1" applyFont="1" applyBorder="1" applyAlignment="1">
      <alignment/>
    </xf>
    <xf numFmtId="0" fontId="11" fillId="35" borderId="30" xfId="0" applyFont="1" applyFill="1" applyBorder="1" applyAlignment="1">
      <alignment horizontal="center" vertical="center" wrapText="1"/>
    </xf>
    <xf numFmtId="10" fontId="10" fillId="36" borderId="30" xfId="0" applyNumberFormat="1" applyFont="1" applyFill="1" applyBorder="1" applyAlignment="1">
      <alignment horizontal="right" vertical="center" wrapText="1"/>
    </xf>
    <xf numFmtId="10" fontId="11" fillId="36" borderId="30" xfId="0" applyNumberFormat="1" applyFont="1" applyFill="1" applyBorder="1" applyAlignment="1">
      <alignment horizontal="right" vertical="center" wrapText="1"/>
    </xf>
    <xf numFmtId="0" fontId="10" fillId="36" borderId="30" xfId="0" applyFont="1" applyFill="1" applyBorder="1" applyAlignment="1">
      <alignment horizontal="right" vertical="center" wrapText="1"/>
    </xf>
    <xf numFmtId="0" fontId="11" fillId="36" borderId="30" xfId="0" applyFont="1" applyFill="1" applyBorder="1" applyAlignment="1">
      <alignment horizontal="right" vertical="center" wrapText="1"/>
    </xf>
    <xf numFmtId="0" fontId="0" fillId="37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quotePrefix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1" fontId="0" fillId="0" borderId="10" xfId="65" applyFont="1" applyBorder="1" applyAlignment="1">
      <alignment horizontal="right" vertical="center"/>
    </xf>
    <xf numFmtId="177" fontId="0" fillId="0" borderId="10" xfId="47" applyFont="1" applyBorder="1" applyAlignment="1">
      <alignment horizontal="right" vertical="center"/>
    </xf>
    <xf numFmtId="177" fontId="0" fillId="0" borderId="10" xfId="47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47" applyFont="1" applyAlignment="1">
      <alignment vertical="center"/>
    </xf>
    <xf numFmtId="177" fontId="0" fillId="0" borderId="0" xfId="47" applyFont="1" applyAlignment="1">
      <alignment vertical="center"/>
    </xf>
    <xf numFmtId="0" fontId="1" fillId="0" borderId="0" xfId="0" applyFont="1" applyAlignment="1">
      <alignment horizontal="center" vertical="center"/>
    </xf>
    <xf numFmtId="177" fontId="0" fillId="0" borderId="0" xfId="47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171" fontId="0" fillId="0" borderId="10" xfId="65" applyFont="1" applyBorder="1" applyAlignment="1">
      <alignment vertical="center"/>
    </xf>
    <xf numFmtId="177" fontId="0" fillId="0" borderId="31" xfId="47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1" fontId="0" fillId="0" borderId="10" xfId="65" applyFont="1" applyFill="1" applyBorder="1" applyAlignment="1">
      <alignment vertical="center"/>
    </xf>
    <xf numFmtId="177" fontId="0" fillId="0" borderId="10" xfId="47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171" fontId="0" fillId="34" borderId="10" xfId="65" applyFont="1" applyFill="1" applyBorder="1" applyAlignment="1">
      <alignment vertical="center"/>
    </xf>
    <xf numFmtId="177" fontId="0" fillId="34" borderId="31" xfId="47" applyFont="1" applyFill="1" applyBorder="1" applyAlignment="1">
      <alignment vertical="center"/>
    </xf>
    <xf numFmtId="177" fontId="0" fillId="34" borderId="10" xfId="47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2" fontId="0" fillId="0" borderId="10" xfId="65" applyNumberFormat="1" applyFont="1" applyFill="1" applyBorder="1" applyAlignment="1">
      <alignment vertical="center"/>
    </xf>
    <xf numFmtId="177" fontId="0" fillId="0" borderId="31" xfId="47" applyFont="1" applyFill="1" applyBorder="1" applyAlignment="1">
      <alignment vertical="center"/>
    </xf>
    <xf numFmtId="177" fontId="0" fillId="0" borderId="10" xfId="47" applyFont="1" applyFill="1" applyBorder="1" applyAlignment="1">
      <alignment horizontal="right" vertical="center"/>
    </xf>
    <xf numFmtId="177" fontId="0" fillId="0" borderId="10" xfId="47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left" vertical="center" wrapText="1"/>
    </xf>
    <xf numFmtId="171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171" fontId="0" fillId="0" borderId="0" xfId="65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Fill="1" applyBorder="1" applyAlignment="1">
      <alignment vertical="center"/>
    </xf>
    <xf numFmtId="177" fontId="0" fillId="0" borderId="34" xfId="47" applyFont="1" applyFill="1" applyBorder="1" applyAlignment="1">
      <alignment vertical="center"/>
    </xf>
    <xf numFmtId="177" fontId="1" fillId="0" borderId="35" xfId="47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5" fillId="0" borderId="32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0" fillId="0" borderId="36" xfId="0" applyNumberFormat="1" applyBorder="1" applyAlignment="1">
      <alignment vertical="center"/>
    </xf>
    <xf numFmtId="0" fontId="14" fillId="0" borderId="0" xfId="51">
      <alignment/>
      <protection/>
    </xf>
    <xf numFmtId="0" fontId="15" fillId="0" borderId="0" xfId="51" applyFont="1" applyBorder="1" applyAlignment="1">
      <alignment horizontal="center"/>
      <protection/>
    </xf>
    <xf numFmtId="0" fontId="17" fillId="38" borderId="37" xfId="50" applyFont="1" applyFill="1" applyBorder="1" applyAlignment="1">
      <alignment horizontal="center" vertical="center"/>
      <protection/>
    </xf>
    <xf numFmtId="0" fontId="18" fillId="38" borderId="38" xfId="50" applyFont="1" applyFill="1" applyBorder="1" applyAlignment="1">
      <alignment horizontal="center" vertical="center"/>
      <protection/>
    </xf>
    <xf numFmtId="0" fontId="17" fillId="38" borderId="38" xfId="50" applyFont="1" applyFill="1" applyBorder="1" applyAlignment="1">
      <alignment horizontal="center" vertical="center"/>
      <protection/>
    </xf>
    <xf numFmtId="0" fontId="17" fillId="38" borderId="39" xfId="50" applyFont="1" applyFill="1" applyBorder="1" applyAlignment="1">
      <alignment horizontal="center" vertical="center"/>
      <protection/>
    </xf>
    <xf numFmtId="0" fontId="15" fillId="0" borderId="0" xfId="50" applyFont="1" applyAlignment="1">
      <alignment vertical="center"/>
      <protection/>
    </xf>
    <xf numFmtId="0" fontId="19" fillId="0" borderId="0" xfId="50" applyFont="1" applyAlignment="1">
      <alignment vertical="center"/>
      <protection/>
    </xf>
    <xf numFmtId="0" fontId="20" fillId="0" borderId="40" xfId="50" applyFont="1" applyBorder="1" applyAlignment="1">
      <alignment horizontal="center" vertical="center"/>
      <protection/>
    </xf>
    <xf numFmtId="0" fontId="15" fillId="0" borderId="0" xfId="50">
      <alignment/>
      <protection/>
    </xf>
    <xf numFmtId="0" fontId="18" fillId="38" borderId="37" xfId="50" applyFont="1" applyFill="1" applyBorder="1" applyAlignment="1">
      <alignment horizontal="center" vertical="center"/>
      <protection/>
    </xf>
    <xf numFmtId="10" fontId="21" fillId="38" borderId="41" xfId="54" applyNumberFormat="1" applyFont="1" applyFill="1" applyBorder="1" applyAlignment="1" applyProtection="1">
      <alignment horizontal="center" vertical="center"/>
      <protection/>
    </xf>
    <xf numFmtId="0" fontId="18" fillId="0" borderId="0" xfId="50" applyFont="1" applyBorder="1" applyAlignment="1">
      <alignment vertical="center"/>
      <protection/>
    </xf>
    <xf numFmtId="10" fontId="0" fillId="38" borderId="40" xfId="54" applyNumberFormat="1" applyFill="1" applyBorder="1" applyAlignment="1" applyProtection="1">
      <alignment horizontal="center" vertical="center"/>
      <protection/>
    </xf>
    <xf numFmtId="0" fontId="12" fillId="0" borderId="39" xfId="50" applyFont="1" applyBorder="1" applyAlignment="1">
      <alignment horizontal="left" vertical="center" indent="1"/>
      <protection/>
    </xf>
    <xf numFmtId="0" fontId="19" fillId="0" borderId="0" xfId="50" applyFont="1" applyBorder="1">
      <alignment/>
      <protection/>
    </xf>
    <xf numFmtId="0" fontId="15" fillId="0" borderId="0" xfId="51" applyFont="1">
      <alignment/>
      <protection/>
    </xf>
    <xf numFmtId="9" fontId="15" fillId="0" borderId="0" xfId="54" applyFont="1" applyFill="1" applyBorder="1" applyAlignment="1" applyProtection="1">
      <alignment horizontal="center"/>
      <protection/>
    </xf>
    <xf numFmtId="4" fontId="19" fillId="0" borderId="0" xfId="51" applyNumberFormat="1" applyFont="1" applyFill="1" applyBorder="1" applyAlignment="1">
      <alignment horizontal="right"/>
      <protection/>
    </xf>
    <xf numFmtId="0" fontId="15" fillId="0" borderId="0" xfId="51" applyFont="1" applyBorder="1">
      <alignment/>
      <protection/>
    </xf>
    <xf numFmtId="4" fontId="25" fillId="0" borderId="0" xfId="51" applyNumberFormat="1" applyFont="1" applyBorder="1">
      <alignment/>
      <protection/>
    </xf>
    <xf numFmtId="10" fontId="0" fillId="0" borderId="0" xfId="0" applyNumberFormat="1" applyAlignment="1">
      <alignment/>
    </xf>
    <xf numFmtId="10" fontId="12" fillId="38" borderId="40" xfId="50" applyNumberFormat="1" applyFont="1" applyFill="1" applyBorder="1" applyAlignment="1">
      <alignment horizontal="center" vertical="center"/>
      <protection/>
    </xf>
    <xf numFmtId="0" fontId="15" fillId="0" borderId="39" xfId="51" applyFont="1" applyBorder="1" applyAlignment="1">
      <alignment horizontal="center"/>
      <protection/>
    </xf>
    <xf numFmtId="0" fontId="16" fillId="38" borderId="39" xfId="50" applyFont="1" applyFill="1" applyBorder="1" applyAlignment="1">
      <alignment horizontal="center" vertical="center"/>
      <protection/>
    </xf>
    <xf numFmtId="0" fontId="12" fillId="0" borderId="38" xfId="50" applyFont="1" applyBorder="1" applyAlignment="1">
      <alignment horizontal="left" vertical="top"/>
      <protection/>
    </xf>
    <xf numFmtId="0" fontId="13" fillId="0" borderId="38" xfId="50" applyFont="1" applyBorder="1" applyAlignment="1">
      <alignment horizontal="left" vertical="top"/>
      <protection/>
    </xf>
    <xf numFmtId="0" fontId="20" fillId="0" borderId="40" xfId="50" applyFont="1" applyBorder="1" applyAlignment="1">
      <alignment horizontal="center" vertical="center"/>
      <protection/>
    </xf>
    <xf numFmtId="0" fontId="18" fillId="38" borderId="39" xfId="50" applyFont="1" applyFill="1" applyBorder="1" applyAlignment="1">
      <alignment horizontal="center" vertical="center"/>
      <protection/>
    </xf>
    <xf numFmtId="0" fontId="22" fillId="0" borderId="42" xfId="50" applyFont="1" applyFill="1" applyBorder="1" applyAlignment="1">
      <alignment horizontal="right" vertical="center"/>
      <protection/>
    </xf>
    <xf numFmtId="0" fontId="12" fillId="0" borderId="39" xfId="50" applyFont="1" applyBorder="1" applyAlignment="1">
      <alignment horizontal="center" vertical="center"/>
      <protection/>
    </xf>
    <xf numFmtId="0" fontId="13" fillId="0" borderId="39" xfId="50" applyFont="1" applyFill="1" applyBorder="1" applyAlignment="1">
      <alignment horizontal="left" vertical="center" wrapText="1" indent="1"/>
      <protection/>
    </xf>
    <xf numFmtId="49" fontId="23" fillId="0" borderId="39" xfId="50" applyNumberFormat="1" applyFont="1" applyBorder="1" applyAlignment="1">
      <alignment horizontal="center" vertical="center" wrapText="1"/>
      <protection/>
    </xf>
    <xf numFmtId="49" fontId="24" fillId="38" borderId="39" xfId="51" applyNumberFormat="1" applyFont="1" applyFill="1" applyBorder="1" applyAlignment="1">
      <alignment horizontal="center" vertical="center" wrapText="1"/>
      <protection/>
    </xf>
    <xf numFmtId="0" fontId="26" fillId="0" borderId="43" xfId="51" applyFont="1" applyFill="1" applyBorder="1" applyAlignment="1">
      <alignment horizontal="center" vertical="center" textRotation="90"/>
      <protection/>
    </xf>
    <xf numFmtId="0" fontId="24" fillId="0" borderId="44" xfId="51" applyFont="1" applyFill="1" applyBorder="1" applyAlignment="1">
      <alignment horizontal="center"/>
      <protection/>
    </xf>
    <xf numFmtId="49" fontId="20" fillId="0" borderId="44" xfId="51" applyNumberFormat="1" applyFont="1" applyFill="1" applyBorder="1" applyAlignment="1">
      <alignment horizontal="center"/>
      <protection/>
    </xf>
    <xf numFmtId="0" fontId="20" fillId="0" borderId="45" xfId="51" applyFont="1" applyFill="1" applyBorder="1" applyAlignment="1">
      <alignment horizontal="center"/>
      <protection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3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8</xdr:row>
      <xdr:rowOff>228600</xdr:rowOff>
    </xdr:from>
    <xdr:to>
      <xdr:col>4</xdr:col>
      <xdr:colOff>628650</xdr:colOff>
      <xdr:row>8</xdr:row>
      <xdr:rowOff>628650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543050"/>
          <a:ext cx="4010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180975</xdr:colOff>
      <xdr:row>1</xdr:row>
      <xdr:rowOff>66675</xdr:rowOff>
    </xdr:from>
    <xdr:to>
      <xdr:col>4</xdr:col>
      <xdr:colOff>552450</xdr:colOff>
      <xdr:row>4</xdr:row>
      <xdr:rowOff>104775</xdr:rowOff>
    </xdr:to>
    <xdr:pic>
      <xdr:nvPicPr>
        <xdr:cNvPr id="2" name="Figur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257175"/>
          <a:ext cx="439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MC\Documents\PREFEITURA\01%20-%20PROJETOS%20E%20OBRAS\11%20-%20PAVIMENTA&#199;&#195;O\6%20RUAS%20-%20PAVI%20URBANAS\EXCEL%20OR&#199;AMENTO\04-08-22%20Or&#231;amento%20Programa%20Pavimenta&#231;&#245;es%20Urba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NÃO DESONERADO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SheetLayoutView="85" zoomScalePageLayoutView="0" workbookViewId="0" topLeftCell="A4">
      <selection activeCell="G36" sqref="G36"/>
    </sheetView>
  </sheetViews>
  <sheetFormatPr defaultColWidth="9.7109375" defaultRowHeight="12.75"/>
  <cols>
    <col min="1" max="1" width="9.7109375" style="125" customWidth="1"/>
    <col min="2" max="2" width="7.8515625" style="125" customWidth="1"/>
    <col min="3" max="3" width="40.421875" style="125" customWidth="1"/>
    <col min="4" max="4" width="19.8515625" style="125" customWidth="1"/>
    <col min="5" max="5" width="23.421875" style="125" customWidth="1"/>
    <col min="6" max="16384" width="9.7109375" style="125" customWidth="1"/>
  </cols>
  <sheetData>
    <row r="1" s="116" customFormat="1" ht="15" thickBot="1"/>
    <row r="2" spans="2:5" s="116" customFormat="1" ht="13.5" customHeight="1" thickBot="1">
      <c r="B2" s="139"/>
      <c r="C2" s="139"/>
      <c r="D2" s="139"/>
      <c r="E2" s="139"/>
    </row>
    <row r="3" spans="2:5" s="116" customFormat="1" ht="13.5" customHeight="1" thickBot="1">
      <c r="B3" s="139"/>
      <c r="C3" s="139"/>
      <c r="D3" s="139"/>
      <c r="E3" s="139"/>
    </row>
    <row r="4" spans="2:5" s="116" customFormat="1" ht="13.5" customHeight="1" thickBot="1">
      <c r="B4" s="139"/>
      <c r="C4" s="139"/>
      <c r="D4" s="139"/>
      <c r="E4" s="139"/>
    </row>
    <row r="5" spans="2:5" s="116" customFormat="1" ht="13.5" customHeight="1" thickBot="1">
      <c r="B5" s="139"/>
      <c r="C5" s="139"/>
      <c r="D5" s="139"/>
      <c r="E5" s="139"/>
    </row>
    <row r="6" spans="2:5" s="116" customFormat="1" ht="6" customHeight="1" thickBot="1">
      <c r="B6" s="117"/>
      <c r="C6" s="117"/>
      <c r="D6" s="117"/>
      <c r="E6" s="117"/>
    </row>
    <row r="7" spans="2:5" s="116" customFormat="1" ht="14.25" customHeight="1" thickBot="1">
      <c r="B7" s="140" t="s">
        <v>187</v>
      </c>
      <c r="C7" s="140"/>
      <c r="D7" s="140"/>
      <c r="E7" s="140"/>
    </row>
    <row r="8" spans="2:5" s="116" customFormat="1" ht="14.25" customHeight="1" thickBot="1">
      <c r="B8" s="140"/>
      <c r="C8" s="140"/>
      <c r="D8" s="140"/>
      <c r="E8" s="140"/>
    </row>
    <row r="9" spans="2:5" s="116" customFormat="1" ht="63" customHeight="1" thickBot="1">
      <c r="B9" s="141" t="s">
        <v>188</v>
      </c>
      <c r="C9" s="141"/>
      <c r="D9" s="141"/>
      <c r="E9" s="141"/>
    </row>
    <row r="10" spans="2:5" s="116" customFormat="1" ht="18" customHeight="1" thickBot="1">
      <c r="B10" s="142" t="s">
        <v>189</v>
      </c>
      <c r="C10" s="142"/>
      <c r="D10" s="142"/>
      <c r="E10" s="142"/>
    </row>
    <row r="11" spans="2:5" s="116" customFormat="1" ht="18" customHeight="1" thickBot="1">
      <c r="B11" s="142" t="s">
        <v>190</v>
      </c>
      <c r="C11" s="142"/>
      <c r="D11" s="142"/>
      <c r="E11" s="142"/>
    </row>
    <row r="12" spans="2:5" s="116" customFormat="1" ht="18" customHeight="1" thickBot="1">
      <c r="B12" s="142" t="s">
        <v>191</v>
      </c>
      <c r="C12" s="142"/>
      <c r="D12" s="142"/>
      <c r="E12" s="142"/>
    </row>
    <row r="13" spans="2:5" s="116" customFormat="1" ht="18" customHeight="1" thickBot="1">
      <c r="B13" s="142" t="s">
        <v>192</v>
      </c>
      <c r="C13" s="142"/>
      <c r="D13" s="142"/>
      <c r="E13" s="142"/>
    </row>
    <row r="14" spans="2:5" s="116" customFormat="1" ht="18" customHeight="1" thickBot="1">
      <c r="B14" s="118" t="s">
        <v>193</v>
      </c>
      <c r="C14" s="119" t="s">
        <v>194</v>
      </c>
      <c r="D14" s="120"/>
      <c r="E14" s="121" t="s">
        <v>6</v>
      </c>
    </row>
    <row r="15" spans="2:5" s="122" customFormat="1" ht="9.75" customHeight="1">
      <c r="B15" s="123"/>
      <c r="C15" s="123"/>
      <c r="D15" s="123"/>
      <c r="E15" s="123"/>
    </row>
    <row r="16" spans="1:5" ht="27" customHeight="1">
      <c r="A16" s="122"/>
      <c r="B16" s="124" t="s">
        <v>195</v>
      </c>
      <c r="C16" s="143" t="s">
        <v>196</v>
      </c>
      <c r="D16" s="143"/>
      <c r="E16" s="138">
        <v>0.0467</v>
      </c>
    </row>
    <row r="17" spans="1:5" ht="27" customHeight="1">
      <c r="A17" s="122"/>
      <c r="B17" s="124" t="s">
        <v>197</v>
      </c>
      <c r="C17" s="143" t="s">
        <v>198</v>
      </c>
      <c r="D17" s="143"/>
      <c r="E17" s="138">
        <v>0.0074</v>
      </c>
    </row>
    <row r="18" spans="1:5" ht="27" customHeight="1">
      <c r="A18" s="122"/>
      <c r="B18" s="124" t="s">
        <v>199</v>
      </c>
      <c r="C18" s="143" t="s">
        <v>200</v>
      </c>
      <c r="D18" s="143"/>
      <c r="E18" s="138">
        <v>0.0097</v>
      </c>
    </row>
    <row r="19" spans="1:5" ht="27" customHeight="1">
      <c r="A19" s="122"/>
      <c r="B19" s="124" t="s">
        <v>201</v>
      </c>
      <c r="C19" s="143" t="s">
        <v>202</v>
      </c>
      <c r="D19" s="143"/>
      <c r="E19" s="138">
        <v>0.0121</v>
      </c>
    </row>
    <row r="20" spans="1:5" ht="27" customHeight="1">
      <c r="A20" s="122"/>
      <c r="B20" s="124" t="s">
        <v>203</v>
      </c>
      <c r="C20" s="143" t="s">
        <v>204</v>
      </c>
      <c r="D20" s="143"/>
      <c r="E20" s="138">
        <v>0.0771</v>
      </c>
    </row>
    <row r="21" spans="1:5" ht="27" customHeight="1">
      <c r="A21" s="122"/>
      <c r="B21" s="124" t="s">
        <v>205</v>
      </c>
      <c r="C21" s="143" t="s">
        <v>206</v>
      </c>
      <c r="D21" s="143"/>
      <c r="E21" s="138">
        <v>0.0365</v>
      </c>
    </row>
    <row r="22" spans="1:5" ht="27" customHeight="1">
      <c r="A22" s="122"/>
      <c r="B22" s="124" t="s">
        <v>207</v>
      </c>
      <c r="C22" s="143" t="s">
        <v>208</v>
      </c>
      <c r="D22" s="143"/>
      <c r="E22" s="138">
        <v>0.03</v>
      </c>
    </row>
    <row r="23" spans="1:5" ht="27" customHeight="1" thickBot="1">
      <c r="A23" s="122"/>
      <c r="B23" s="124" t="s">
        <v>209</v>
      </c>
      <c r="C23" s="143" t="s">
        <v>210</v>
      </c>
      <c r="D23" s="143"/>
      <c r="E23" s="138">
        <f ca="1">IF(BDI.Opcao&lt;&gt;"Desonerado",0,IF(AND($J12&lt;&gt;$A$146,COUNTA(OFFSET(E15,1,0,6))&gt;0),4.5%,0%))</f>
        <v>0</v>
      </c>
    </row>
    <row r="24" spans="2:5" ht="27" customHeight="1" thickBot="1">
      <c r="B24" s="126" t="s">
        <v>211</v>
      </c>
      <c r="C24" s="144" t="s">
        <v>221</v>
      </c>
      <c r="D24" s="144"/>
      <c r="E24" s="127">
        <v>0.2423</v>
      </c>
    </row>
    <row r="25" spans="2:5" ht="13.5" customHeight="1" thickBot="1">
      <c r="B25" s="128"/>
      <c r="C25" s="145"/>
      <c r="D25" s="145"/>
      <c r="E25" s="145"/>
    </row>
    <row r="26" spans="2:5" s="116" customFormat="1" ht="14.25" customHeight="1" thickBot="1">
      <c r="B26" s="140" t="s">
        <v>212</v>
      </c>
      <c r="C26" s="140"/>
      <c r="D26" s="140"/>
      <c r="E26" s="140"/>
    </row>
    <row r="27" spans="2:5" s="116" customFormat="1" ht="14.25" customHeight="1" thickBot="1">
      <c r="B27" s="140"/>
      <c r="C27" s="140"/>
      <c r="D27" s="140"/>
      <c r="E27" s="140"/>
    </row>
    <row r="28" spans="2:5" ht="13.5" customHeight="1">
      <c r="B28" s="128"/>
      <c r="C28" s="145"/>
      <c r="D28" s="145"/>
      <c r="E28" s="145"/>
    </row>
    <row r="29" spans="1:5" ht="27" customHeight="1">
      <c r="A29" s="122"/>
      <c r="B29" s="124" t="s">
        <v>213</v>
      </c>
      <c r="C29" s="143" t="s">
        <v>214</v>
      </c>
      <c r="D29" s="143"/>
      <c r="E29" s="129">
        <v>0.8334</v>
      </c>
    </row>
    <row r="30" spans="1:5" ht="27" customHeight="1">
      <c r="A30" s="122"/>
      <c r="B30" s="124" t="s">
        <v>222</v>
      </c>
      <c r="C30" s="143" t="s">
        <v>223</v>
      </c>
      <c r="D30" s="143"/>
      <c r="E30" s="129">
        <v>0.4632</v>
      </c>
    </row>
    <row r="31" spans="2:5" ht="13.5" customHeight="1" thickBot="1">
      <c r="B31" s="128"/>
      <c r="C31" s="145"/>
      <c r="D31" s="145"/>
      <c r="E31" s="145"/>
    </row>
    <row r="32" spans="2:5" ht="12.75" customHeight="1" thickBot="1">
      <c r="B32" s="146" t="s">
        <v>215</v>
      </c>
      <c r="C32" s="147" t="s">
        <v>216</v>
      </c>
      <c r="D32" s="147"/>
      <c r="E32" s="130" t="s">
        <v>217</v>
      </c>
    </row>
    <row r="33" spans="2:5" ht="12.75" customHeight="1" thickBot="1">
      <c r="B33" s="146"/>
      <c r="C33" s="147"/>
      <c r="D33" s="147"/>
      <c r="E33" s="148" t="s">
        <v>224</v>
      </c>
    </row>
    <row r="34" spans="2:5" ht="12.75" customHeight="1" thickBot="1">
      <c r="B34" s="146"/>
      <c r="C34" s="147"/>
      <c r="D34" s="147"/>
      <c r="E34" s="148"/>
    </row>
    <row r="35" spans="2:5" ht="13.5" thickBot="1">
      <c r="B35" s="131"/>
      <c r="C35" s="131"/>
      <c r="D35" s="131"/>
      <c r="E35" s="131"/>
    </row>
    <row r="36" spans="1:11" s="116" customFormat="1" ht="42" customHeight="1" thickBot="1">
      <c r="A36" s="132"/>
      <c r="B36" s="149" t="s">
        <v>225</v>
      </c>
      <c r="C36" s="149"/>
      <c r="D36" s="149"/>
      <c r="E36" s="149"/>
      <c r="F36" s="133"/>
      <c r="G36" s="134"/>
      <c r="H36" s="134"/>
      <c r="I36" s="135"/>
      <c r="J36" s="136"/>
      <c r="K36" s="136"/>
    </row>
    <row r="37" spans="2:5" s="116" customFormat="1" ht="33.75" customHeight="1" thickBot="1">
      <c r="B37" s="150" t="s">
        <v>218</v>
      </c>
      <c r="C37" s="151" t="s">
        <v>219</v>
      </c>
      <c r="D37" s="151"/>
      <c r="E37" s="151"/>
    </row>
    <row r="38" spans="2:5" s="116" customFormat="1" ht="17.25" customHeight="1" thickBot="1">
      <c r="B38" s="150"/>
      <c r="C38" s="152" t="s">
        <v>220</v>
      </c>
      <c r="D38" s="152"/>
      <c r="E38" s="152"/>
    </row>
    <row r="39" spans="2:5" s="116" customFormat="1" ht="37.5" customHeight="1" thickBot="1">
      <c r="B39" s="150"/>
      <c r="C39" s="151" t="s">
        <v>219</v>
      </c>
      <c r="D39" s="151"/>
      <c r="E39" s="151"/>
    </row>
    <row r="40" spans="2:5" s="116" customFormat="1" ht="17.25" customHeight="1" thickBot="1">
      <c r="B40" s="150"/>
      <c r="C40" s="152" t="s">
        <v>226</v>
      </c>
      <c r="D40" s="152"/>
      <c r="E40" s="152"/>
    </row>
    <row r="41" spans="2:5" s="116" customFormat="1" ht="38.25" customHeight="1" thickBot="1">
      <c r="B41" s="150"/>
      <c r="C41" s="151"/>
      <c r="D41" s="151"/>
      <c r="E41" s="151"/>
    </row>
    <row r="42" spans="2:5" s="116" customFormat="1" ht="19.5" customHeight="1" thickBot="1">
      <c r="B42" s="150"/>
      <c r="C42" s="153"/>
      <c r="D42" s="153"/>
      <c r="E42" s="153"/>
    </row>
    <row r="43" ht="12.75" customHeight="1"/>
    <row r="45" ht="19.5" customHeight="1"/>
    <row r="47" ht="15" customHeight="1"/>
    <row r="48" ht="14.25" customHeight="1"/>
  </sheetData>
  <sheetProtection selectLockedCells="1" selectUnlockedCells="1"/>
  <mergeCells count="33">
    <mergeCell ref="B36:E36"/>
    <mergeCell ref="B37:B42"/>
    <mergeCell ref="C37:E37"/>
    <mergeCell ref="C38:E38"/>
    <mergeCell ref="C39:E39"/>
    <mergeCell ref="C40:E40"/>
    <mergeCell ref="C41:E41"/>
    <mergeCell ref="C42:E42"/>
    <mergeCell ref="C28:E28"/>
    <mergeCell ref="C29:D29"/>
    <mergeCell ref="C31:E31"/>
    <mergeCell ref="B32:B34"/>
    <mergeCell ref="C32:D34"/>
    <mergeCell ref="E33:E34"/>
    <mergeCell ref="C30:D30"/>
    <mergeCell ref="C21:D21"/>
    <mergeCell ref="C22:D22"/>
    <mergeCell ref="C23:D23"/>
    <mergeCell ref="C24:D24"/>
    <mergeCell ref="C25:E25"/>
    <mergeCell ref="B26:E27"/>
    <mergeCell ref="B13:E13"/>
    <mergeCell ref="C16:D16"/>
    <mergeCell ref="C17:D17"/>
    <mergeCell ref="C18:D18"/>
    <mergeCell ref="C19:D19"/>
    <mergeCell ref="C20:D20"/>
    <mergeCell ref="B2:E5"/>
    <mergeCell ref="B7:E8"/>
    <mergeCell ref="B9:E9"/>
    <mergeCell ref="B10:E10"/>
    <mergeCell ref="B11:E11"/>
    <mergeCell ref="B12:E12"/>
  </mergeCells>
  <printOptions horizontalCentered="1"/>
  <pageMargins left="0.7875" right="0.7875" top="1.575" bottom="0.9840277777777777" header="0.5118055555555555" footer="0.5118055555555555"/>
  <pageSetup fitToHeight="1" fitToWidth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showGridLines="0" tabSelected="1" view="pageBreakPreview" zoomScale="115" zoomScaleSheetLayoutView="115" zoomScalePageLayoutView="0" workbookViewId="0" topLeftCell="A4">
      <selection activeCell="J20" sqref="J20"/>
    </sheetView>
  </sheetViews>
  <sheetFormatPr defaultColWidth="9.140625" defaultRowHeight="12.75"/>
  <cols>
    <col min="1" max="1" width="8.8515625" style="53" customWidth="1"/>
    <col min="2" max="2" width="9.28125" style="53" bestFit="1" customWidth="1"/>
    <col min="3" max="3" width="6.140625" style="53" bestFit="1" customWidth="1"/>
    <col min="4" max="4" width="66.8515625" style="53" customWidth="1"/>
    <col min="5" max="5" width="5.7109375" style="53" bestFit="1" customWidth="1"/>
    <col min="6" max="6" width="10.28125" style="53" customWidth="1"/>
    <col min="7" max="8" width="12.28125" style="53" customWidth="1"/>
    <col min="9" max="9" width="14.7109375" style="53" customWidth="1"/>
    <col min="10" max="15" width="11.7109375" style="53" customWidth="1"/>
    <col min="16" max="16384" width="9.140625" style="53" customWidth="1"/>
  </cols>
  <sheetData>
    <row r="1" ht="84.75" customHeight="1"/>
    <row r="2" spans="1:9" ht="12.75">
      <c r="A2" s="158" t="s">
        <v>21</v>
      </c>
      <c r="B2" s="159"/>
      <c r="C2" s="159"/>
      <c r="D2" s="159"/>
      <c r="E2" s="159"/>
      <c r="F2" s="159"/>
      <c r="G2" s="159"/>
      <c r="H2" s="159"/>
      <c r="I2" s="160"/>
    </row>
    <row r="3" spans="1:2" ht="12.75">
      <c r="A3" s="54" t="s">
        <v>76</v>
      </c>
      <c r="B3" s="54"/>
    </row>
    <row r="4" ht="13.5" thickBot="1"/>
    <row r="5" spans="1:9" ht="13.5" thickBot="1">
      <c r="A5" s="161" t="s">
        <v>14</v>
      </c>
      <c r="B5" s="162"/>
      <c r="C5" s="162"/>
      <c r="D5" s="162"/>
      <c r="E5" s="162"/>
      <c r="F5" s="162"/>
      <c r="G5" s="162"/>
      <c r="H5" s="162"/>
      <c r="I5" s="163"/>
    </row>
    <row r="7" spans="4:9" ht="12.75">
      <c r="D7" s="54" t="s">
        <v>74</v>
      </c>
      <c r="E7" s="156" t="s">
        <v>227</v>
      </c>
      <c r="F7" s="157"/>
      <c r="G7" s="157"/>
      <c r="H7" s="157"/>
      <c r="I7" s="157"/>
    </row>
    <row r="8" ht="12.75">
      <c r="D8" s="54"/>
    </row>
    <row r="9" spans="1:9" ht="12.75">
      <c r="A9" s="165" t="s">
        <v>0</v>
      </c>
      <c r="B9" s="39"/>
      <c r="C9" s="167" t="s">
        <v>20</v>
      </c>
      <c r="D9" s="154" t="s">
        <v>8</v>
      </c>
      <c r="E9" s="165" t="s">
        <v>65</v>
      </c>
      <c r="F9" s="165" t="s">
        <v>18</v>
      </c>
      <c r="G9" s="164" t="s">
        <v>9</v>
      </c>
      <c r="H9" s="164"/>
      <c r="I9" s="165" t="s">
        <v>10</v>
      </c>
    </row>
    <row r="10" spans="1:9" ht="12.75">
      <c r="A10" s="166"/>
      <c r="B10" s="40"/>
      <c r="C10" s="168"/>
      <c r="D10" s="155"/>
      <c r="E10" s="166"/>
      <c r="F10" s="166"/>
      <c r="G10" s="56" t="s">
        <v>32</v>
      </c>
      <c r="H10" s="56" t="s">
        <v>33</v>
      </c>
      <c r="I10" s="166"/>
    </row>
    <row r="11" ht="12.75">
      <c r="D11" s="57"/>
    </row>
    <row r="12" spans="1:4" ht="12.75">
      <c r="A12" s="58">
        <v>1</v>
      </c>
      <c r="B12" s="58"/>
      <c r="C12" s="58"/>
      <c r="D12" s="59" t="s">
        <v>161</v>
      </c>
    </row>
    <row r="13" spans="1:9" ht="12.75">
      <c r="A13" s="60" t="s">
        <v>82</v>
      </c>
      <c r="B13" s="61" t="s">
        <v>41</v>
      </c>
      <c r="C13" s="62">
        <v>4813</v>
      </c>
      <c r="D13" s="63" t="s">
        <v>174</v>
      </c>
      <c r="E13" s="64" t="s">
        <v>37</v>
      </c>
      <c r="F13" s="65">
        <f>2.2*1.1</f>
        <v>2.4200000000000004</v>
      </c>
      <c r="G13" s="66">
        <v>250</v>
      </c>
      <c r="H13" s="66">
        <f>ROUND((G13*1.2423),2)</f>
        <v>310.58</v>
      </c>
      <c r="I13" s="67">
        <f>F13*H13</f>
        <v>751.6036</v>
      </c>
    </row>
    <row r="14" spans="3:9" ht="12.75">
      <c r="C14" s="55"/>
      <c r="D14" s="68"/>
      <c r="E14" s="54"/>
      <c r="F14" s="54"/>
      <c r="G14" s="69"/>
      <c r="H14" s="69"/>
      <c r="I14" s="70"/>
    </row>
    <row r="15" spans="1:9" ht="12.75">
      <c r="A15" s="58">
        <v>2</v>
      </c>
      <c r="B15" s="58"/>
      <c r="C15" s="71"/>
      <c r="D15" s="59" t="s">
        <v>162</v>
      </c>
      <c r="E15" s="54"/>
      <c r="F15" s="54"/>
      <c r="G15" s="69"/>
      <c r="H15" s="69"/>
      <c r="I15" s="72"/>
    </row>
    <row r="16" spans="1:9" ht="25.5">
      <c r="A16" s="60" t="s">
        <v>83</v>
      </c>
      <c r="B16" s="61" t="s">
        <v>35</v>
      </c>
      <c r="C16" s="73" t="s">
        <v>38</v>
      </c>
      <c r="D16" s="74" t="s">
        <v>39</v>
      </c>
      <c r="E16" s="64" t="s">
        <v>40</v>
      </c>
      <c r="F16" s="75">
        <f>(13+16+16+20+20-1.2-1.2+10+10+5.25+5.25)*0.2*0.3</f>
        <v>6.7860000000000005</v>
      </c>
      <c r="G16" s="76">
        <v>84.26</v>
      </c>
      <c r="H16" s="66">
        <f aca="true" t="shared" si="0" ref="H16:H22">ROUND((G16*1.2423),2)</f>
        <v>104.68</v>
      </c>
      <c r="I16" s="67">
        <f aca="true" t="shared" si="1" ref="I16:I22">F16*H16</f>
        <v>710.3584800000001</v>
      </c>
    </row>
    <row r="17" spans="1:9" ht="63.75">
      <c r="A17" s="60" t="s">
        <v>84</v>
      </c>
      <c r="B17" s="61" t="s">
        <v>35</v>
      </c>
      <c r="C17" s="73">
        <v>102363</v>
      </c>
      <c r="D17" s="74" t="s">
        <v>172</v>
      </c>
      <c r="E17" s="64" t="s">
        <v>37</v>
      </c>
      <c r="F17" s="75">
        <f>((13+16+16+20+20-1.2-1.2)*2)+((10+10+5.25+5.25)*3.8)</f>
        <v>281.09999999999997</v>
      </c>
      <c r="G17" s="76">
        <v>161.15</v>
      </c>
      <c r="H17" s="66">
        <f t="shared" si="0"/>
        <v>200.2</v>
      </c>
      <c r="I17" s="67">
        <f t="shared" si="1"/>
        <v>56276.21999999999</v>
      </c>
    </row>
    <row r="18" spans="1:9" ht="38.25">
      <c r="A18" s="60" t="s">
        <v>85</v>
      </c>
      <c r="B18" s="61" t="s">
        <v>35</v>
      </c>
      <c r="C18" s="73" t="s">
        <v>145</v>
      </c>
      <c r="D18" s="74" t="s">
        <v>146</v>
      </c>
      <c r="E18" s="64" t="s">
        <v>40</v>
      </c>
      <c r="F18" s="65">
        <f>F16</f>
        <v>6.7860000000000005</v>
      </c>
      <c r="G18" s="66">
        <v>480.22</v>
      </c>
      <c r="H18" s="66">
        <f t="shared" si="0"/>
        <v>596.58</v>
      </c>
      <c r="I18" s="67">
        <f t="shared" si="1"/>
        <v>4048.3918800000006</v>
      </c>
    </row>
    <row r="19" spans="1:9" ht="51">
      <c r="A19" s="60" t="s">
        <v>149</v>
      </c>
      <c r="B19" s="61" t="s">
        <v>35</v>
      </c>
      <c r="C19" s="73" t="s">
        <v>147</v>
      </c>
      <c r="D19" s="74" t="s">
        <v>148</v>
      </c>
      <c r="E19" s="64" t="s">
        <v>37</v>
      </c>
      <c r="F19" s="75">
        <f>((13+16+16+20+20-1.2-1.2)*0.2)+((10+10+5.25+5.25)*0.2)</f>
        <v>22.62</v>
      </c>
      <c r="G19" s="66">
        <v>138.41</v>
      </c>
      <c r="H19" s="66">
        <f t="shared" si="0"/>
        <v>171.95</v>
      </c>
      <c r="I19" s="67">
        <f t="shared" si="1"/>
        <v>3889.509</v>
      </c>
    </row>
    <row r="20" spans="1:9" ht="51">
      <c r="A20" s="60" t="s">
        <v>150</v>
      </c>
      <c r="B20" s="61" t="s">
        <v>35</v>
      </c>
      <c r="C20" s="73" t="s">
        <v>152</v>
      </c>
      <c r="D20" s="74" t="s">
        <v>153</v>
      </c>
      <c r="E20" s="64" t="s">
        <v>37</v>
      </c>
      <c r="F20" s="75">
        <f>F19*2</f>
        <v>45.24</v>
      </c>
      <c r="G20" s="66">
        <v>7.68</v>
      </c>
      <c r="H20" s="66">
        <f t="shared" si="0"/>
        <v>9.54</v>
      </c>
      <c r="I20" s="67">
        <f t="shared" si="1"/>
        <v>431.58959999999996</v>
      </c>
    </row>
    <row r="21" spans="1:9" ht="38.25">
      <c r="A21" s="60" t="s">
        <v>151</v>
      </c>
      <c r="B21" s="61" t="s">
        <v>35</v>
      </c>
      <c r="C21" s="73" t="s">
        <v>156</v>
      </c>
      <c r="D21" s="74" t="s">
        <v>157</v>
      </c>
      <c r="E21" s="64" t="s">
        <v>37</v>
      </c>
      <c r="F21" s="75">
        <f>F20</f>
        <v>45.24</v>
      </c>
      <c r="G21" s="66">
        <v>40.73</v>
      </c>
      <c r="H21" s="66">
        <f t="shared" si="0"/>
        <v>50.6</v>
      </c>
      <c r="I21" s="67">
        <f t="shared" si="1"/>
        <v>2289.1440000000002</v>
      </c>
    </row>
    <row r="22" spans="1:9" ht="38.25">
      <c r="A22" s="60" t="s">
        <v>155</v>
      </c>
      <c r="B22" s="61" t="s">
        <v>41</v>
      </c>
      <c r="C22" s="73" t="s">
        <v>42</v>
      </c>
      <c r="D22" s="74" t="s">
        <v>66</v>
      </c>
      <c r="E22" s="64" t="s">
        <v>37</v>
      </c>
      <c r="F22" s="65">
        <f>(1.2*2.2)</f>
        <v>2.64</v>
      </c>
      <c r="G22" s="66">
        <v>502.5</v>
      </c>
      <c r="H22" s="66">
        <f t="shared" si="0"/>
        <v>624.26</v>
      </c>
      <c r="I22" s="67">
        <f t="shared" si="1"/>
        <v>1648.0464</v>
      </c>
    </row>
    <row r="23" spans="3:9" ht="12.75">
      <c r="C23" s="55"/>
      <c r="D23" s="68"/>
      <c r="E23" s="54"/>
      <c r="F23" s="54"/>
      <c r="G23" s="69"/>
      <c r="H23" s="69"/>
      <c r="I23" s="72"/>
    </row>
    <row r="24" spans="1:9" ht="12.75">
      <c r="A24" s="58">
        <v>3</v>
      </c>
      <c r="B24" s="58"/>
      <c r="C24" s="71"/>
      <c r="D24" s="59" t="s">
        <v>52</v>
      </c>
      <c r="E24" s="54"/>
      <c r="F24" s="54"/>
      <c r="G24" s="69"/>
      <c r="H24" s="69"/>
      <c r="I24" s="72"/>
    </row>
    <row r="25" spans="1:9" ht="12.75">
      <c r="A25" s="58"/>
      <c r="B25" s="58"/>
      <c r="C25" s="71"/>
      <c r="D25" s="59" t="s">
        <v>163</v>
      </c>
      <c r="E25" s="54"/>
      <c r="F25" s="54"/>
      <c r="G25" s="69"/>
      <c r="H25" s="69"/>
      <c r="I25" s="72"/>
    </row>
    <row r="26" spans="1:9" ht="38.25">
      <c r="A26" s="60" t="s">
        <v>86</v>
      </c>
      <c r="B26" s="77" t="s">
        <v>35</v>
      </c>
      <c r="C26" s="73" t="s">
        <v>45</v>
      </c>
      <c r="D26" s="74" t="s">
        <v>46</v>
      </c>
      <c r="E26" s="64" t="s">
        <v>37</v>
      </c>
      <c r="F26" s="78">
        <f>2.64*2</f>
        <v>5.28</v>
      </c>
      <c r="G26" s="79">
        <v>23.15</v>
      </c>
      <c r="H26" s="66">
        <f>ROUND((G26*1.2423),2)</f>
        <v>28.76</v>
      </c>
      <c r="I26" s="67">
        <f>F26*H26</f>
        <v>151.8528</v>
      </c>
    </row>
    <row r="27" spans="1:9" ht="51">
      <c r="A27" s="80" t="s">
        <v>87</v>
      </c>
      <c r="B27" s="77" t="s">
        <v>35</v>
      </c>
      <c r="C27" s="73" t="s">
        <v>43</v>
      </c>
      <c r="D27" s="74" t="s">
        <v>44</v>
      </c>
      <c r="E27" s="64" t="s">
        <v>37</v>
      </c>
      <c r="F27" s="78">
        <f>2.64*2</f>
        <v>5.28</v>
      </c>
      <c r="G27" s="79">
        <v>47.42</v>
      </c>
      <c r="H27" s="66">
        <f>ROUND((G27*1.2423),2)</f>
        <v>58.91</v>
      </c>
      <c r="I27" s="67">
        <f>F27*H27</f>
        <v>311.0448</v>
      </c>
    </row>
    <row r="28" spans="1:9" ht="12.75">
      <c r="A28" s="58"/>
      <c r="B28" s="58"/>
      <c r="C28" s="71"/>
      <c r="D28" s="59" t="s">
        <v>164</v>
      </c>
      <c r="E28" s="54"/>
      <c r="F28" s="54"/>
      <c r="G28" s="69"/>
      <c r="H28" s="69"/>
      <c r="I28" s="72"/>
    </row>
    <row r="29" spans="1:9" ht="25.5">
      <c r="A29" s="80" t="s">
        <v>154</v>
      </c>
      <c r="B29" s="77" t="s">
        <v>35</v>
      </c>
      <c r="C29" s="73" t="s">
        <v>159</v>
      </c>
      <c r="D29" s="74" t="s">
        <v>160</v>
      </c>
      <c r="E29" s="64" t="s">
        <v>37</v>
      </c>
      <c r="F29" s="78">
        <f>F21</f>
        <v>45.24</v>
      </c>
      <c r="G29" s="79">
        <v>3.07</v>
      </c>
      <c r="H29" s="66">
        <f>ROUND((G29*1.2423),2)</f>
        <v>3.81</v>
      </c>
      <c r="I29" s="67">
        <f>F29*H29</f>
        <v>172.36440000000002</v>
      </c>
    </row>
    <row r="30" spans="1:9" ht="25.5">
      <c r="A30" s="80" t="s">
        <v>158</v>
      </c>
      <c r="B30" s="77" t="s">
        <v>35</v>
      </c>
      <c r="C30" s="73" t="s">
        <v>166</v>
      </c>
      <c r="D30" s="74" t="s">
        <v>167</v>
      </c>
      <c r="E30" s="64" t="s">
        <v>37</v>
      </c>
      <c r="F30" s="78">
        <f>F29</f>
        <v>45.24</v>
      </c>
      <c r="G30" s="79">
        <v>10.17</v>
      </c>
      <c r="H30" s="66">
        <f>ROUND((G30*1.2423),2)</f>
        <v>12.63</v>
      </c>
      <c r="I30" s="67">
        <f>F30*H30</f>
        <v>571.3812</v>
      </c>
    </row>
    <row r="31" spans="1:9" ht="12.75">
      <c r="A31" s="58"/>
      <c r="B31" s="58"/>
      <c r="C31" s="71"/>
      <c r="D31" s="59" t="s">
        <v>173</v>
      </c>
      <c r="E31" s="54"/>
      <c r="F31" s="54"/>
      <c r="G31" s="69"/>
      <c r="H31" s="69"/>
      <c r="I31" s="72"/>
    </row>
    <row r="32" spans="1:9" ht="38.25">
      <c r="A32" s="80" t="s">
        <v>154</v>
      </c>
      <c r="B32" s="77" t="s">
        <v>35</v>
      </c>
      <c r="C32" s="73" t="s">
        <v>45</v>
      </c>
      <c r="D32" s="74" t="s">
        <v>46</v>
      </c>
      <c r="E32" s="64" t="s">
        <v>37</v>
      </c>
      <c r="F32" s="78">
        <f>((0.6105*F17)*0.0603*3.14)+((0.8701*F17)*0.03175*3.14)</f>
        <v>56.87718664155</v>
      </c>
      <c r="G32" s="79">
        <v>3.07</v>
      </c>
      <c r="H32" s="66">
        <f>ROUND((G32*1.2423),2)</f>
        <v>3.81</v>
      </c>
      <c r="I32" s="67">
        <f>F32*H32</f>
        <v>216.7020811043055</v>
      </c>
    </row>
    <row r="33" spans="1:9" ht="51">
      <c r="A33" s="80" t="s">
        <v>158</v>
      </c>
      <c r="B33" s="77" t="s">
        <v>35</v>
      </c>
      <c r="C33" s="73" t="s">
        <v>43</v>
      </c>
      <c r="D33" s="74" t="s">
        <v>44</v>
      </c>
      <c r="E33" s="64" t="s">
        <v>37</v>
      </c>
      <c r="F33" s="78">
        <f>F32</f>
        <v>56.87718664155</v>
      </c>
      <c r="G33" s="79">
        <v>10.17</v>
      </c>
      <c r="H33" s="66">
        <f>ROUND((G33*1.2423),2)</f>
        <v>12.63</v>
      </c>
      <c r="I33" s="67">
        <f>F33*H33</f>
        <v>718.3588672827765</v>
      </c>
    </row>
    <row r="34" spans="3:9" ht="12.75">
      <c r="C34" s="55"/>
      <c r="D34" s="68"/>
      <c r="E34" s="54"/>
      <c r="F34" s="54"/>
      <c r="G34" s="69"/>
      <c r="H34" s="69"/>
      <c r="I34" s="72"/>
    </row>
    <row r="35" spans="1:9" ht="12.75">
      <c r="A35" s="58">
        <v>4</v>
      </c>
      <c r="B35" s="58"/>
      <c r="C35" s="71"/>
      <c r="D35" s="59" t="s">
        <v>165</v>
      </c>
      <c r="E35" s="54"/>
      <c r="F35" s="54"/>
      <c r="G35" s="69"/>
      <c r="H35" s="69"/>
      <c r="I35" s="72"/>
    </row>
    <row r="36" spans="1:9" ht="63.75">
      <c r="A36" s="60" t="s">
        <v>88</v>
      </c>
      <c r="B36" s="81" t="s">
        <v>35</v>
      </c>
      <c r="C36" s="82">
        <v>104473</v>
      </c>
      <c r="D36" s="83" t="s">
        <v>75</v>
      </c>
      <c r="E36" s="84" t="s">
        <v>67</v>
      </c>
      <c r="F36" s="85">
        <v>2</v>
      </c>
      <c r="G36" s="86">
        <v>167.2</v>
      </c>
      <c r="H36" s="66">
        <f>ROUND((G36*1.2423),2)</f>
        <v>207.71</v>
      </c>
      <c r="I36" s="87">
        <f>F36*H36</f>
        <v>415.42</v>
      </c>
    </row>
    <row r="37" spans="1:11" ht="25.5">
      <c r="A37" s="80" t="s">
        <v>89</v>
      </c>
      <c r="B37" s="81" t="s">
        <v>35</v>
      </c>
      <c r="C37" s="82" t="s">
        <v>68</v>
      </c>
      <c r="D37" s="83" t="s">
        <v>69</v>
      </c>
      <c r="E37" s="84" t="s">
        <v>67</v>
      </c>
      <c r="F37" s="85">
        <v>2</v>
      </c>
      <c r="G37" s="86">
        <v>397.12</v>
      </c>
      <c r="H37" s="66">
        <f>ROUND((G37*1.2423),2)</f>
        <v>493.34</v>
      </c>
      <c r="I37" s="87">
        <f>F37*H37</f>
        <v>986.68</v>
      </c>
      <c r="J37" s="88"/>
      <c r="K37" s="88"/>
    </row>
    <row r="38" spans="3:9" ht="12.75">
      <c r="C38" s="55"/>
      <c r="D38" s="68"/>
      <c r="E38" s="54"/>
      <c r="F38" s="54"/>
      <c r="G38" s="69"/>
      <c r="H38" s="69"/>
      <c r="I38" s="72"/>
    </row>
    <row r="39" spans="1:9" ht="12.75">
      <c r="A39" s="58">
        <v>5</v>
      </c>
      <c r="B39" s="58"/>
      <c r="C39" s="71"/>
      <c r="D39" s="59" t="s">
        <v>175</v>
      </c>
      <c r="E39" s="54"/>
      <c r="F39" s="54"/>
      <c r="G39" s="69"/>
      <c r="H39" s="69"/>
      <c r="I39" s="72"/>
    </row>
    <row r="40" spans="1:9" ht="38.25">
      <c r="A40" s="60" t="s">
        <v>90</v>
      </c>
      <c r="B40" s="81" t="s">
        <v>35</v>
      </c>
      <c r="C40" s="82" t="s">
        <v>176</v>
      </c>
      <c r="D40" s="83" t="s">
        <v>178</v>
      </c>
      <c r="E40" s="84" t="s">
        <v>37</v>
      </c>
      <c r="F40" s="85">
        <f>(1.6+1.4+1.6+1.4)*2.6</f>
        <v>15.600000000000001</v>
      </c>
      <c r="G40" s="86">
        <v>62.55</v>
      </c>
      <c r="H40" s="66">
        <f>ROUND((G40*1.2423),2)</f>
        <v>77.71</v>
      </c>
      <c r="I40" s="87">
        <f>F40*H40</f>
        <v>1212.276</v>
      </c>
    </row>
    <row r="41" spans="1:11" ht="38.25">
      <c r="A41" s="80" t="s">
        <v>91</v>
      </c>
      <c r="B41" s="81" t="s">
        <v>35</v>
      </c>
      <c r="C41" s="82" t="s">
        <v>177</v>
      </c>
      <c r="D41" s="83" t="s">
        <v>179</v>
      </c>
      <c r="E41" s="84" t="s">
        <v>37</v>
      </c>
      <c r="F41" s="85">
        <f>1.6*1.4</f>
        <v>2.2399999999999998</v>
      </c>
      <c r="G41" s="86">
        <v>62.77</v>
      </c>
      <c r="H41" s="66">
        <f>ROUND((G41*1.2423),2)</f>
        <v>77.98</v>
      </c>
      <c r="I41" s="87">
        <f>F41*H41</f>
        <v>174.6752</v>
      </c>
      <c r="J41" s="88"/>
      <c r="K41" s="88"/>
    </row>
    <row r="42" spans="1:11" ht="38.25">
      <c r="A42" s="80" t="s">
        <v>92</v>
      </c>
      <c r="B42" s="81" t="s">
        <v>35</v>
      </c>
      <c r="C42" s="82" t="s">
        <v>182</v>
      </c>
      <c r="D42" s="83" t="s">
        <v>183</v>
      </c>
      <c r="E42" s="84" t="s">
        <v>67</v>
      </c>
      <c r="F42" s="85">
        <v>1</v>
      </c>
      <c r="G42" s="86">
        <v>153.85</v>
      </c>
      <c r="H42" s="66">
        <f>ROUND((G42*1.2423),2)</f>
        <v>191.13</v>
      </c>
      <c r="I42" s="87">
        <f>F42*H42</f>
        <v>191.13</v>
      </c>
      <c r="J42" s="88"/>
      <c r="K42" s="88"/>
    </row>
    <row r="43" spans="1:11" ht="12.75">
      <c r="A43" s="80" t="s">
        <v>93</v>
      </c>
      <c r="B43" s="81" t="s">
        <v>41</v>
      </c>
      <c r="C43" s="82" t="s">
        <v>180</v>
      </c>
      <c r="D43" s="83" t="s">
        <v>181</v>
      </c>
      <c r="E43" s="84" t="s">
        <v>78</v>
      </c>
      <c r="F43" s="85">
        <v>1</v>
      </c>
      <c r="G43" s="86">
        <v>41.17</v>
      </c>
      <c r="H43" s="66">
        <f>ROUND((G43*1.2423),2)</f>
        <v>51.15</v>
      </c>
      <c r="I43" s="87">
        <f>F43*H43</f>
        <v>51.15</v>
      </c>
      <c r="J43" s="88"/>
      <c r="K43" s="88"/>
    </row>
    <row r="44" spans="3:9" ht="12.75">
      <c r="C44" s="55"/>
      <c r="D44" s="68"/>
      <c r="E44" s="54"/>
      <c r="F44" s="54"/>
      <c r="G44" s="69"/>
      <c r="H44" s="69"/>
      <c r="I44" s="72"/>
    </row>
    <row r="45" ht="13.5" thickBot="1"/>
    <row r="46" spans="1:9" ht="13.5" thickBot="1">
      <c r="A46" s="102" t="s">
        <v>70</v>
      </c>
      <c r="B46" s="103"/>
      <c r="C46" s="104"/>
      <c r="D46" s="104"/>
      <c r="E46" s="105"/>
      <c r="F46" s="105"/>
      <c r="G46" s="106"/>
      <c r="H46" s="106"/>
      <c r="I46" s="115">
        <f>SUM(I13:I43)</f>
        <v>75217.89830838707</v>
      </c>
    </row>
    <row r="48" ht="12.75">
      <c r="D48" s="54" t="s">
        <v>144</v>
      </c>
    </row>
    <row r="49" ht="12.75">
      <c r="F49" s="109"/>
    </row>
    <row r="50" spans="6:9" ht="12.75">
      <c r="F50" s="108"/>
      <c r="G50" s="108"/>
      <c r="H50" s="108"/>
      <c r="I50" s="108"/>
    </row>
    <row r="51" spans="4:6" ht="12.75">
      <c r="D51" s="54" t="s">
        <v>27</v>
      </c>
      <c r="F51" s="54" t="s">
        <v>171</v>
      </c>
    </row>
    <row r="52" spans="4:6" ht="12.75">
      <c r="D52" s="114" t="s">
        <v>28</v>
      </c>
      <c r="F52" s="109" t="s">
        <v>30</v>
      </c>
    </row>
  </sheetData>
  <sheetProtection/>
  <mergeCells count="10">
    <mergeCell ref="D9:D10"/>
    <mergeCell ref="E7:I7"/>
    <mergeCell ref="A2:I2"/>
    <mergeCell ref="A5:I5"/>
    <mergeCell ref="G9:H9"/>
    <mergeCell ref="E9:E10"/>
    <mergeCell ref="F9:F10"/>
    <mergeCell ref="I9:I10"/>
    <mergeCell ref="A9:A10"/>
    <mergeCell ref="C9:C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2" r:id="rId3"/>
  <legacyDrawing r:id="rId2"/>
  <oleObjects>
    <oleObject progId="CorelDRAW.Graphic.12" shapeId="101248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showGridLines="0" zoomScale="130" zoomScaleNormal="130" workbookViewId="0" topLeftCell="A1">
      <selection activeCell="F15" sqref="F15"/>
    </sheetView>
  </sheetViews>
  <sheetFormatPr defaultColWidth="9.140625" defaultRowHeight="12.75"/>
  <cols>
    <col min="1" max="1" width="4.7109375" style="0" customWidth="1"/>
    <col min="2" max="2" width="21.421875" style="0" customWidth="1"/>
    <col min="3" max="3" width="10.7109375" style="0" customWidth="1"/>
    <col min="4" max="4" width="8.28125" style="0" customWidth="1"/>
    <col min="5" max="5" width="10.7109375" style="0" customWidth="1"/>
    <col min="6" max="6" width="8.28125" style="0" customWidth="1"/>
    <col min="7" max="7" width="11.7109375" style="0" customWidth="1"/>
    <col min="8" max="8" width="8.28125" style="0" customWidth="1"/>
    <col min="9" max="9" width="10.7109375" style="0" customWidth="1"/>
    <col min="10" max="10" width="8.28125" style="0" customWidth="1"/>
    <col min="11" max="11" width="10.7109375" style="0" customWidth="1"/>
    <col min="12" max="12" width="8.28125" style="0" customWidth="1"/>
  </cols>
  <sheetData>
    <row r="1" ht="60" customHeight="1"/>
    <row r="2" spans="1:12" ht="15">
      <c r="A2" s="171" t="str">
        <f>Orçamento!A2</f>
        <v>ACADEMIA DE SAÚDE AO AR LIVRE - BAIRRO FLORESTA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3"/>
    </row>
    <row r="3" spans="1:9" ht="12.75">
      <c r="A3" t="s">
        <v>7</v>
      </c>
      <c r="I3">
        <f>Orçamento!G3</f>
        <v>0</v>
      </c>
    </row>
    <row r="4" ht="6.75" customHeight="1" thickBot="1"/>
    <row r="5" spans="1:12" ht="13.5" thickBot="1">
      <c r="A5" s="174" t="s">
        <v>13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1:12" ht="6.75" customHeight="1" thickBo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2.75">
      <c r="A7" s="26"/>
      <c r="B7" s="27"/>
      <c r="C7" s="169" t="s">
        <v>12</v>
      </c>
      <c r="D7" s="169"/>
      <c r="E7" s="169"/>
      <c r="F7" s="169"/>
      <c r="G7" s="169"/>
      <c r="H7" s="169"/>
      <c r="I7" s="169"/>
      <c r="J7" s="169"/>
      <c r="K7" s="27"/>
      <c r="L7" s="28"/>
    </row>
    <row r="8" spans="1:12" ht="12.75">
      <c r="A8" s="29" t="s">
        <v>0</v>
      </c>
      <c r="B8" s="16" t="s">
        <v>1</v>
      </c>
      <c r="C8" s="177" t="s">
        <v>3</v>
      </c>
      <c r="D8" s="178"/>
      <c r="E8" s="178" t="s">
        <v>4</v>
      </c>
      <c r="F8" s="178"/>
      <c r="G8" s="178" t="s">
        <v>25</v>
      </c>
      <c r="H8" s="179"/>
      <c r="I8" s="179"/>
      <c r="J8" s="177"/>
      <c r="K8" s="17" t="s">
        <v>5</v>
      </c>
      <c r="L8" s="30" t="s">
        <v>6</v>
      </c>
    </row>
    <row r="9" spans="1:12" ht="13.5" thickBot="1">
      <c r="A9" s="31"/>
      <c r="B9" s="32"/>
      <c r="C9" s="33" t="s">
        <v>17</v>
      </c>
      <c r="D9" s="34" t="s">
        <v>6</v>
      </c>
      <c r="E9" s="34" t="s">
        <v>17</v>
      </c>
      <c r="F9" s="34" t="s">
        <v>6</v>
      </c>
      <c r="G9" s="34"/>
      <c r="H9" s="34"/>
      <c r="I9" s="34"/>
      <c r="J9" s="35"/>
      <c r="K9" s="36"/>
      <c r="L9" s="37"/>
    </row>
    <row r="10" ht="6.75" customHeight="1">
      <c r="L10" s="1"/>
    </row>
    <row r="11" spans="1:12" ht="12.75">
      <c r="A11" s="3">
        <v>1</v>
      </c>
      <c r="B11" s="3" t="s">
        <v>15</v>
      </c>
      <c r="C11" s="4">
        <f>K11*D11/100</f>
        <v>751.6036</v>
      </c>
      <c r="D11" s="4">
        <v>100</v>
      </c>
      <c r="E11" s="4">
        <f>K11*F11/100</f>
        <v>0</v>
      </c>
      <c r="F11" s="4"/>
      <c r="G11" s="4">
        <f>K11*H11/100</f>
        <v>0</v>
      </c>
      <c r="H11" s="4"/>
      <c r="I11" s="4"/>
      <c r="J11" s="4"/>
      <c r="K11" s="18">
        <f>SUM(Orçamento!I13)</f>
        <v>751.6036</v>
      </c>
      <c r="L11" s="20">
        <f>K11*100/$K$18</f>
        <v>0.9992350449868835</v>
      </c>
    </row>
    <row r="12" spans="1:12" ht="12.75">
      <c r="A12" s="3">
        <v>2</v>
      </c>
      <c r="B12" s="3" t="s">
        <v>31</v>
      </c>
      <c r="C12" s="4">
        <f>K12*D12/100</f>
        <v>27717.303744</v>
      </c>
      <c r="D12" s="4">
        <v>40</v>
      </c>
      <c r="E12" s="4">
        <f>K12*F12/100</f>
        <v>41575.955616</v>
      </c>
      <c r="F12" s="4">
        <v>60</v>
      </c>
      <c r="G12" s="4">
        <f>K12*H12/100</f>
        <v>0</v>
      </c>
      <c r="H12" s="4"/>
      <c r="I12" s="4"/>
      <c r="J12" s="4"/>
      <c r="K12" s="18">
        <f>SUM(Orçamento!I16:I22)</f>
        <v>69293.25936</v>
      </c>
      <c r="L12" s="20">
        <f>K12*100/$K$18</f>
        <v>92.12336547333912</v>
      </c>
    </row>
    <row r="13" spans="1:12" ht="12.75">
      <c r="A13" s="3">
        <v>3</v>
      </c>
      <c r="B13" s="3" t="s">
        <v>184</v>
      </c>
      <c r="C13" s="4">
        <f>K13*D13/100</f>
        <v>0</v>
      </c>
      <c r="D13" s="4"/>
      <c r="E13" s="4">
        <f>K13*F13/100</f>
        <v>0</v>
      </c>
      <c r="F13" s="4"/>
      <c r="G13" s="4">
        <f>K13*H13/100</f>
        <v>2141.704148387082</v>
      </c>
      <c r="H13" s="4">
        <v>100</v>
      </c>
      <c r="I13" s="4"/>
      <c r="J13" s="4"/>
      <c r="K13" s="18">
        <f>SUM(Orçamento!I26:I33)</f>
        <v>2141.704148387082</v>
      </c>
      <c r="L13" s="20">
        <f>K13*100/$K$18</f>
        <v>2.8473331435109692</v>
      </c>
    </row>
    <row r="14" spans="1:12" ht="12.75">
      <c r="A14" s="3">
        <v>4</v>
      </c>
      <c r="B14" s="3" t="s">
        <v>185</v>
      </c>
      <c r="C14" s="4">
        <f>K14*D14/100</f>
        <v>0</v>
      </c>
      <c r="D14" s="4"/>
      <c r="E14" s="4">
        <f>K14*F14/100</f>
        <v>0</v>
      </c>
      <c r="F14" s="4"/>
      <c r="G14" s="4">
        <f>K14*H14/100</f>
        <v>1402.1</v>
      </c>
      <c r="H14" s="4">
        <v>100</v>
      </c>
      <c r="I14" s="4"/>
      <c r="J14" s="4"/>
      <c r="K14" s="18">
        <f>SUM(Orçamento!I36:I37)</f>
        <v>1402.1</v>
      </c>
      <c r="L14" s="20">
        <f>K14*100/$K$18</f>
        <v>1.8640510191490693</v>
      </c>
    </row>
    <row r="15" spans="1:13" ht="12.75">
      <c r="A15" s="3">
        <v>5</v>
      </c>
      <c r="B15" s="3" t="s">
        <v>186</v>
      </c>
      <c r="C15" s="4">
        <f>K15*D15/100</f>
        <v>1629.2312000000002</v>
      </c>
      <c r="D15" s="4">
        <v>100</v>
      </c>
      <c r="E15" s="4">
        <f>K15*F15/100</f>
        <v>0</v>
      </c>
      <c r="F15" s="4"/>
      <c r="G15" s="4">
        <f>K15*H15/100</f>
        <v>0</v>
      </c>
      <c r="H15" s="4"/>
      <c r="I15" s="4"/>
      <c r="J15" s="4"/>
      <c r="K15" s="18">
        <f>SUM(Orçamento!I40:I43)</f>
        <v>1629.2312000000002</v>
      </c>
      <c r="L15" s="20">
        <f>K15*100/$K$18</f>
        <v>2.1660153190139515</v>
      </c>
      <c r="M15" t="s">
        <v>16</v>
      </c>
    </row>
    <row r="16" spans="1:12" ht="6.75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2"/>
      <c r="L16" s="2"/>
    </row>
    <row r="17" spans="1:12" ht="12.75">
      <c r="A17" s="5"/>
      <c r="B17" s="9" t="s">
        <v>19</v>
      </c>
      <c r="C17" s="10">
        <f>SUM(C11:C15)</f>
        <v>30098.138544</v>
      </c>
      <c r="D17" s="10">
        <f>C17*100/$K$18</f>
        <v>40.01459655333649</v>
      </c>
      <c r="E17" s="10">
        <f>SUM(E11:E15)</f>
        <v>41575.955616</v>
      </c>
      <c r="F17" s="10">
        <f>E17*100/$K$18</f>
        <v>55.27401928400348</v>
      </c>
      <c r="G17" s="10">
        <f>SUM(G11:G15)</f>
        <v>3543.804148387082</v>
      </c>
      <c r="H17" s="10">
        <f>G17*100/$K$18</f>
        <v>4.711384162660038</v>
      </c>
      <c r="I17" s="10"/>
      <c r="J17" s="10"/>
      <c r="K17" s="11"/>
      <c r="L17" s="12"/>
    </row>
    <row r="18" spans="1:12" ht="13.5" thickBot="1">
      <c r="A18" s="5"/>
      <c r="B18" s="13" t="s">
        <v>11</v>
      </c>
      <c r="C18" s="14">
        <f>C17</f>
        <v>30098.138544</v>
      </c>
      <c r="D18" s="19">
        <f>C18*100/$K$18</f>
        <v>40.01459655333649</v>
      </c>
      <c r="E18" s="14">
        <f>C18+E17</f>
        <v>71674.09416000001</v>
      </c>
      <c r="F18" s="19">
        <f>E18*100/$K$18</f>
        <v>95.28861583733998</v>
      </c>
      <c r="G18" s="14">
        <f>E18+G17</f>
        <v>75217.89830838708</v>
      </c>
      <c r="H18" s="19">
        <f>G18*100/$K$18</f>
        <v>100</v>
      </c>
      <c r="I18" s="14"/>
      <c r="J18" s="19"/>
      <c r="K18" s="15">
        <f>SUM(K11:K15)</f>
        <v>75217.89830838708</v>
      </c>
      <c r="L18" s="21">
        <f>SUM(L11:L17)</f>
        <v>100</v>
      </c>
    </row>
    <row r="20" spans="2:12" ht="12.75">
      <c r="B20" s="170" t="str">
        <f>Orçamento!D48</f>
        <v>Caçapava do Sul - RS, 25 de maio de 2023</v>
      </c>
      <c r="C20" s="170"/>
      <c r="D20" s="170"/>
      <c r="E20" s="170"/>
      <c r="F20" s="170"/>
      <c r="G20" s="8"/>
      <c r="H20" s="23"/>
      <c r="I20" s="23"/>
      <c r="J20" s="23"/>
      <c r="K20" s="23"/>
      <c r="L20" s="23"/>
    </row>
    <row r="21" ht="12.75">
      <c r="H21" s="7"/>
    </row>
    <row r="22" spans="3:12" ht="12.75">
      <c r="C22" s="22"/>
      <c r="D22" s="22"/>
      <c r="E22" s="22"/>
      <c r="F22" s="22"/>
      <c r="H22" s="22"/>
      <c r="I22" s="22"/>
      <c r="J22" s="22"/>
      <c r="K22" s="22"/>
      <c r="L22" s="22"/>
    </row>
    <row r="23" spans="3:8" ht="12.75">
      <c r="C23" s="54" t="s">
        <v>27</v>
      </c>
      <c r="H23" s="7" t="str">
        <f>Orçamento!F51</f>
        <v>Helmesona de O. Santana - Engenheira Civil</v>
      </c>
    </row>
    <row r="24" spans="3:8" ht="12.75">
      <c r="C24" s="114" t="s">
        <v>28</v>
      </c>
      <c r="H24" s="24" t="str">
        <f>Orçamento!F52</f>
        <v>CREA RS152843</v>
      </c>
    </row>
    <row r="25" ht="12.75">
      <c r="H25" s="7"/>
    </row>
    <row r="26" ht="12.75">
      <c r="H26" s="7"/>
    </row>
  </sheetData>
  <sheetProtection/>
  <mergeCells count="8">
    <mergeCell ref="C7:J7"/>
    <mergeCell ref="B20:F20"/>
    <mergeCell ref="A2:L2"/>
    <mergeCell ref="A5:L5"/>
    <mergeCell ref="C8:D8"/>
    <mergeCell ref="E8:F8"/>
    <mergeCell ref="I8:J8"/>
    <mergeCell ref="G8:H8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3"/>
  <legacyDrawing r:id="rId2"/>
  <oleObjects>
    <oleObject progId="CorelDRAW.Graphic.12" shapeId="102636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N13" sqref="N13"/>
    </sheetView>
  </sheetViews>
  <sheetFormatPr defaultColWidth="9.140625" defaultRowHeight="12.75"/>
  <cols>
    <col min="3" max="3" width="42.8515625" style="0" customWidth="1"/>
    <col min="4" max="4" width="48.7109375" style="0" customWidth="1"/>
  </cols>
  <sheetData>
    <row r="2" spans="1:6" ht="45">
      <c r="A2" s="41" t="s">
        <v>41</v>
      </c>
      <c r="B2" s="41">
        <v>42428</v>
      </c>
      <c r="C2" s="42" t="s">
        <v>77</v>
      </c>
      <c r="D2" s="41" t="s">
        <v>78</v>
      </c>
      <c r="E2" s="43" t="s">
        <v>79</v>
      </c>
      <c r="F2" s="43" t="s">
        <v>79</v>
      </c>
    </row>
    <row r="3" spans="1:6" ht="45">
      <c r="A3" s="41" t="s">
        <v>41</v>
      </c>
      <c r="B3" s="41">
        <v>42439</v>
      </c>
      <c r="C3" s="42" t="s">
        <v>80</v>
      </c>
      <c r="D3" s="41" t="s">
        <v>78</v>
      </c>
      <c r="E3" s="43" t="s">
        <v>81</v>
      </c>
      <c r="F3" s="43" t="s">
        <v>81</v>
      </c>
    </row>
    <row r="10" spans="3:4" ht="12.75">
      <c r="C10" s="38" t="s">
        <v>22</v>
      </c>
      <c r="D10" s="44" t="s">
        <v>51</v>
      </c>
    </row>
    <row r="11" spans="3:4" ht="12.75">
      <c r="C11" s="38" t="s">
        <v>47</v>
      </c>
      <c r="D11" s="44" t="s">
        <v>54</v>
      </c>
    </row>
    <row r="12" spans="3:4" ht="12.75">
      <c r="C12" s="38" t="s">
        <v>48</v>
      </c>
      <c r="D12" s="44" t="s">
        <v>52</v>
      </c>
    </row>
    <row r="13" spans="3:4" ht="12.75">
      <c r="C13" s="38" t="s">
        <v>49</v>
      </c>
      <c r="D13" s="44" t="s">
        <v>53</v>
      </c>
    </row>
    <row r="14" spans="3:4" ht="12.75">
      <c r="C14" s="38" t="s">
        <v>23</v>
      </c>
      <c r="D14" s="44" t="s">
        <v>52</v>
      </c>
    </row>
    <row r="15" spans="3:4" ht="12.75">
      <c r="C15" s="38" t="s">
        <v>55</v>
      </c>
      <c r="D15" s="44" t="s">
        <v>51</v>
      </c>
    </row>
    <row r="16" spans="3:4" ht="12.75">
      <c r="C16" s="38" t="s">
        <v>50</v>
      </c>
      <c r="D16" s="44" t="s">
        <v>56</v>
      </c>
    </row>
    <row r="17" spans="3:4" ht="12.75">
      <c r="C17" s="38" t="s">
        <v>24</v>
      </c>
      <c r="D17" s="44" t="s">
        <v>57</v>
      </c>
    </row>
    <row r="18" spans="3:4" ht="12.75">
      <c r="C18" s="38" t="s">
        <v>72</v>
      </c>
      <c r="D18" s="6" t="s">
        <v>64</v>
      </c>
    </row>
    <row r="19" spans="3:4" ht="12.75">
      <c r="C19" s="38" t="s">
        <v>73</v>
      </c>
      <c r="D19" s="6" t="s">
        <v>64</v>
      </c>
    </row>
    <row r="20" spans="3:4" ht="12.75">
      <c r="C20" s="38" t="s">
        <v>59</v>
      </c>
      <c r="D20" s="6" t="s">
        <v>58</v>
      </c>
    </row>
    <row r="21" spans="3:4" ht="12.75">
      <c r="C21" s="38" t="s">
        <v>60</v>
      </c>
      <c r="D21" s="6" t="s">
        <v>63</v>
      </c>
    </row>
    <row r="22" spans="3:4" ht="12.75">
      <c r="C22" s="38" t="s">
        <v>61</v>
      </c>
      <c r="D22" s="44" t="s">
        <v>62</v>
      </c>
    </row>
    <row r="23" spans="3:4" ht="12.75">
      <c r="C23" s="38" t="s">
        <v>26</v>
      </c>
      <c r="D23" s="45" t="s">
        <v>52</v>
      </c>
    </row>
    <row r="24" spans="3:4" ht="12.75">
      <c r="C24" s="38" t="s">
        <v>104</v>
      </c>
      <c r="D24" s="46" t="s">
        <v>106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4:P25"/>
  <sheetViews>
    <sheetView zoomScalePageLayoutView="0" workbookViewId="0" topLeftCell="A1">
      <selection activeCell="H20" sqref="H20"/>
    </sheetView>
  </sheetViews>
  <sheetFormatPr defaultColWidth="9.140625" defaultRowHeight="12.75"/>
  <cols>
    <col min="7" max="7" width="12.421875" style="0" customWidth="1"/>
    <col min="16" max="16" width="11.140625" style="0" customWidth="1"/>
  </cols>
  <sheetData>
    <row r="4" spans="3:16" ht="25.5">
      <c r="C4" s="47" t="s">
        <v>107</v>
      </c>
      <c r="D4" s="47" t="s">
        <v>108</v>
      </c>
      <c r="E4" s="47" t="s">
        <v>109</v>
      </c>
      <c r="F4" s="47" t="s">
        <v>110</v>
      </c>
      <c r="G4" s="47" t="s">
        <v>111</v>
      </c>
      <c r="H4" s="47" t="s">
        <v>112</v>
      </c>
      <c r="I4" s="47" t="s">
        <v>113</v>
      </c>
      <c r="J4" s="47" t="s">
        <v>114</v>
      </c>
      <c r="K4" s="47" t="s">
        <v>115</v>
      </c>
      <c r="L4" s="47" t="s">
        <v>116</v>
      </c>
      <c r="M4" s="47" t="s">
        <v>117</v>
      </c>
      <c r="N4" s="47" t="s">
        <v>118</v>
      </c>
      <c r="O4" s="47" t="s">
        <v>119</v>
      </c>
      <c r="P4" s="47" t="s">
        <v>120</v>
      </c>
    </row>
    <row r="5" spans="3:16" ht="12.75">
      <c r="C5" s="47">
        <v>2010</v>
      </c>
      <c r="D5" s="48">
        <v>0.0064</v>
      </c>
      <c r="E5" s="48">
        <v>0.0036</v>
      </c>
      <c r="F5" s="48">
        <v>0.0075</v>
      </c>
      <c r="G5" s="48">
        <v>0.0084</v>
      </c>
      <c r="H5" s="48">
        <v>0.0181</v>
      </c>
      <c r="I5" s="48">
        <v>0.0109</v>
      </c>
      <c r="J5" s="48">
        <v>0.0044</v>
      </c>
      <c r="K5" s="48">
        <v>0.0014</v>
      </c>
      <c r="L5" s="48">
        <v>0.0021</v>
      </c>
      <c r="M5" s="48">
        <v>0.002</v>
      </c>
      <c r="N5" s="48">
        <v>0.0037</v>
      </c>
      <c r="O5" s="48">
        <v>0.0067</v>
      </c>
      <c r="P5" s="49">
        <v>0.0777</v>
      </c>
    </row>
    <row r="6" spans="3:16" ht="12.75">
      <c r="C6" s="47">
        <v>2011</v>
      </c>
      <c r="D6" s="48">
        <v>0.0041</v>
      </c>
      <c r="E6" s="48">
        <v>0.0028</v>
      </c>
      <c r="F6" s="48">
        <v>0.0043</v>
      </c>
      <c r="G6" s="48">
        <v>0.0106</v>
      </c>
      <c r="H6" s="48">
        <v>0.0294</v>
      </c>
      <c r="I6" s="48">
        <v>0.0037</v>
      </c>
      <c r="J6" s="48">
        <v>0.0045</v>
      </c>
      <c r="K6" s="48">
        <v>0.0013</v>
      </c>
      <c r="L6" s="48">
        <v>0.0014</v>
      </c>
      <c r="M6" s="48">
        <v>0.0023</v>
      </c>
      <c r="N6" s="48">
        <v>0.0072</v>
      </c>
      <c r="O6" s="48">
        <v>0.0011</v>
      </c>
      <c r="P6" s="49">
        <v>0.0749</v>
      </c>
    </row>
    <row r="7" spans="3:16" ht="12.75">
      <c r="C7" s="47">
        <v>2012</v>
      </c>
      <c r="D7" s="48">
        <v>0.0089</v>
      </c>
      <c r="E7" s="48">
        <v>0.003</v>
      </c>
      <c r="F7" s="48">
        <v>0.0051</v>
      </c>
      <c r="G7" s="48">
        <v>0.0075</v>
      </c>
      <c r="H7" s="48">
        <v>0.0188</v>
      </c>
      <c r="I7" s="48">
        <v>0.0073</v>
      </c>
      <c r="J7" s="48">
        <v>0.0067</v>
      </c>
      <c r="K7" s="48">
        <v>0.0026</v>
      </c>
      <c r="L7" s="48">
        <v>0.0022</v>
      </c>
      <c r="M7" s="48">
        <v>0.0021</v>
      </c>
      <c r="N7" s="48">
        <v>0.0033</v>
      </c>
      <c r="O7" s="48">
        <v>0.0016</v>
      </c>
      <c r="P7" s="49">
        <v>0.0712</v>
      </c>
    </row>
    <row r="8" spans="3:16" ht="12.75">
      <c r="C8" s="47">
        <v>2013</v>
      </c>
      <c r="D8" s="48">
        <v>0.0065</v>
      </c>
      <c r="E8" s="48">
        <v>0.006</v>
      </c>
      <c r="F8" s="48">
        <v>0.005</v>
      </c>
      <c r="G8" s="48">
        <v>0.0074</v>
      </c>
      <c r="H8" s="48">
        <v>0.0225</v>
      </c>
      <c r="I8" s="48">
        <v>0.0115</v>
      </c>
      <c r="J8" s="48">
        <v>0.0048</v>
      </c>
      <c r="K8" s="48">
        <v>0.0031</v>
      </c>
      <c r="L8" s="48">
        <v>0.0043</v>
      </c>
      <c r="M8" s="48">
        <v>0.0026</v>
      </c>
      <c r="N8" s="48">
        <v>0.0035</v>
      </c>
      <c r="O8" s="48">
        <v>0.001</v>
      </c>
      <c r="P8" s="49">
        <v>0.0809</v>
      </c>
    </row>
    <row r="9" spans="3:16" ht="12.75">
      <c r="C9" s="47">
        <v>2014</v>
      </c>
      <c r="D9" s="48">
        <v>0.0088</v>
      </c>
      <c r="E9" s="48">
        <v>0.0033</v>
      </c>
      <c r="F9" s="48">
        <v>0.0028</v>
      </c>
      <c r="G9" s="48">
        <v>0.0088</v>
      </c>
      <c r="H9" s="48">
        <v>0.0205</v>
      </c>
      <c r="I9" s="48">
        <v>0.0066</v>
      </c>
      <c r="J9" s="48">
        <v>0.0075</v>
      </c>
      <c r="K9" s="48">
        <v>0.0008</v>
      </c>
      <c r="L9" s="48">
        <v>0.0015</v>
      </c>
      <c r="M9" s="48">
        <v>0.0017</v>
      </c>
      <c r="N9" s="48">
        <v>0.0044</v>
      </c>
      <c r="O9" s="48">
        <v>0.0008</v>
      </c>
      <c r="P9" s="49">
        <v>0.0695</v>
      </c>
    </row>
    <row r="10" spans="3:16" ht="12.75">
      <c r="C10" s="47">
        <v>2015</v>
      </c>
      <c r="D10" s="48">
        <v>0.0092</v>
      </c>
      <c r="E10" s="48">
        <v>0.0031</v>
      </c>
      <c r="F10" s="48">
        <v>0.0062</v>
      </c>
      <c r="G10" s="48">
        <v>0.0046</v>
      </c>
      <c r="H10" s="48">
        <v>0.0095</v>
      </c>
      <c r="I10" s="48">
        <v>0.0184</v>
      </c>
      <c r="J10" s="48">
        <v>0.0055</v>
      </c>
      <c r="K10" s="48">
        <v>0.0059</v>
      </c>
      <c r="L10" s="48">
        <v>0.0022</v>
      </c>
      <c r="M10" s="48">
        <v>0.0036</v>
      </c>
      <c r="N10" s="48">
        <v>0.0034</v>
      </c>
      <c r="O10" s="48">
        <v>0.001</v>
      </c>
      <c r="P10" s="49">
        <v>0.0748</v>
      </c>
    </row>
    <row r="11" spans="3:16" ht="12.75">
      <c r="C11" s="47">
        <v>2016</v>
      </c>
      <c r="D11" s="48">
        <v>0.0039</v>
      </c>
      <c r="E11" s="48">
        <v>0.0054</v>
      </c>
      <c r="F11" s="48">
        <v>0.0064</v>
      </c>
      <c r="G11" s="48">
        <v>0.0055</v>
      </c>
      <c r="H11" s="48">
        <v>0.0008</v>
      </c>
      <c r="I11" s="48">
        <v>0.0193</v>
      </c>
      <c r="J11" s="48">
        <v>0.0049</v>
      </c>
      <c r="K11" s="48">
        <v>0.0029</v>
      </c>
      <c r="L11" s="48">
        <v>0.0033</v>
      </c>
      <c r="M11" s="48">
        <v>0.0021</v>
      </c>
      <c r="N11" s="48">
        <v>0.0016</v>
      </c>
      <c r="O11" s="48">
        <v>0.0035</v>
      </c>
      <c r="P11" s="49">
        <v>0.0613</v>
      </c>
    </row>
    <row r="12" spans="3:16" ht="12.75">
      <c r="C12" s="47">
        <v>2017</v>
      </c>
      <c r="D12" s="48">
        <v>0.0041</v>
      </c>
      <c r="E12" s="48">
        <v>0.0065</v>
      </c>
      <c r="F12" s="48">
        <v>0.0016</v>
      </c>
      <c r="G12" s="50" t="s">
        <v>121</v>
      </c>
      <c r="H12" s="48">
        <v>0.0063</v>
      </c>
      <c r="I12" s="48">
        <v>0.0093</v>
      </c>
      <c r="J12" s="48">
        <v>0.003</v>
      </c>
      <c r="K12" s="48">
        <v>0.0036</v>
      </c>
      <c r="L12" s="48">
        <v>0.0006</v>
      </c>
      <c r="M12" s="48">
        <v>0.0031</v>
      </c>
      <c r="N12" s="48">
        <v>0.0031</v>
      </c>
      <c r="O12" s="48">
        <v>0.0007</v>
      </c>
      <c r="P12" s="49">
        <v>0.0425</v>
      </c>
    </row>
    <row r="13" spans="3:16" ht="12.75">
      <c r="C13" s="47">
        <v>2018</v>
      </c>
      <c r="D13" s="48">
        <v>0.0031</v>
      </c>
      <c r="E13" s="48">
        <v>0.0013</v>
      </c>
      <c r="F13" s="48">
        <v>0.0024</v>
      </c>
      <c r="G13" s="48">
        <v>0.0029</v>
      </c>
      <c r="H13" s="48">
        <v>0.0023</v>
      </c>
      <c r="I13" s="48">
        <v>0.0097</v>
      </c>
      <c r="J13" s="48">
        <v>0.0065</v>
      </c>
      <c r="K13" s="48">
        <v>0.0015</v>
      </c>
      <c r="L13" s="48">
        <v>0.0023</v>
      </c>
      <c r="M13" s="48">
        <v>0.0035</v>
      </c>
      <c r="N13" s="48">
        <v>0.0013</v>
      </c>
      <c r="O13" s="48">
        <v>0.0013</v>
      </c>
      <c r="P13" s="49">
        <v>0.0384</v>
      </c>
    </row>
    <row r="14" spans="3:16" ht="12.75">
      <c r="C14" s="47">
        <v>2019</v>
      </c>
      <c r="D14" s="48">
        <v>0.0049</v>
      </c>
      <c r="E14" s="48">
        <v>0.0009</v>
      </c>
      <c r="F14" s="48">
        <v>0.0031</v>
      </c>
      <c r="G14" s="48">
        <v>0.0038</v>
      </c>
      <c r="H14" s="48">
        <v>0.0003</v>
      </c>
      <c r="I14" s="48">
        <v>0.0088</v>
      </c>
      <c r="J14" s="48">
        <v>0.0058</v>
      </c>
      <c r="K14" s="48">
        <v>0.0042</v>
      </c>
      <c r="L14" s="48">
        <v>0.0046</v>
      </c>
      <c r="M14" s="48">
        <v>0.0018</v>
      </c>
      <c r="N14" s="48">
        <v>0.0004</v>
      </c>
      <c r="O14" s="48">
        <v>0.0021</v>
      </c>
      <c r="P14" s="49">
        <v>0.0415</v>
      </c>
    </row>
    <row r="15" spans="3:16" ht="12.75">
      <c r="C15" s="47">
        <v>2020</v>
      </c>
      <c r="D15" s="48">
        <v>0.0038</v>
      </c>
      <c r="E15" s="48">
        <v>0.0033</v>
      </c>
      <c r="F15" s="48">
        <v>0.0026</v>
      </c>
      <c r="G15" s="48">
        <v>0.0022</v>
      </c>
      <c r="H15" s="48">
        <v>0.002</v>
      </c>
      <c r="I15" s="48">
        <v>0.0034</v>
      </c>
      <c r="J15" s="48">
        <v>0.0117</v>
      </c>
      <c r="K15" s="48">
        <v>0.0072</v>
      </c>
      <c r="L15" s="48">
        <v>0.0116</v>
      </c>
      <c r="M15" s="48">
        <v>0.0173</v>
      </c>
      <c r="N15" s="48">
        <v>0.0128</v>
      </c>
      <c r="O15" s="48">
        <v>0.007</v>
      </c>
      <c r="P15" s="49">
        <v>0.0881</v>
      </c>
    </row>
    <row r="16" spans="3:16" ht="12.75">
      <c r="C16" s="47">
        <v>2021</v>
      </c>
      <c r="D16" s="48">
        <v>0.0089</v>
      </c>
      <c r="E16" s="48">
        <v>0.0189</v>
      </c>
      <c r="F16" s="48">
        <v>0.013</v>
      </c>
      <c r="G16" s="48">
        <v>0.009</v>
      </c>
      <c r="H16" s="48">
        <v>0.0222</v>
      </c>
      <c r="I16" s="48">
        <v>0.0216</v>
      </c>
      <c r="J16" s="48">
        <v>0.0085</v>
      </c>
      <c r="K16" s="48">
        <v>0.0046</v>
      </c>
      <c r="L16" s="48">
        <v>0.0051</v>
      </c>
      <c r="M16" s="48">
        <v>0.0086</v>
      </c>
      <c r="N16" s="48">
        <v>0.0067</v>
      </c>
      <c r="O16" s="48">
        <v>0.0035</v>
      </c>
      <c r="P16" s="49">
        <v>0.1385</v>
      </c>
    </row>
    <row r="17" spans="3:16" ht="12.75">
      <c r="C17" s="47">
        <v>2022</v>
      </c>
      <c r="D17" s="48">
        <v>0.0071</v>
      </c>
      <c r="E17" s="48">
        <v>0.0038</v>
      </c>
      <c r="F17" s="48">
        <v>0.0086</v>
      </c>
      <c r="G17" s="48">
        <v>0.0095</v>
      </c>
      <c r="H17" s="48">
        <v>0.0228</v>
      </c>
      <c r="I17" s="48">
        <v>0.0214</v>
      </c>
      <c r="J17" s="48">
        <v>0.0086</v>
      </c>
      <c r="K17" s="48">
        <v>0.0009</v>
      </c>
      <c r="L17" s="48">
        <v>0.0009</v>
      </c>
      <c r="M17" s="48">
        <v>0.0012</v>
      </c>
      <c r="N17" s="48">
        <v>0.0036</v>
      </c>
      <c r="O17" s="48">
        <v>0.0009</v>
      </c>
      <c r="P17" s="49">
        <v>0.0928</v>
      </c>
    </row>
    <row r="18" spans="3:16" ht="12.75">
      <c r="C18" s="47">
        <v>2023</v>
      </c>
      <c r="D18" s="48">
        <v>0.0046</v>
      </c>
      <c r="E18" s="48">
        <v>0.0005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49">
        <v>0.005</v>
      </c>
    </row>
    <row r="19" spans="3:16" ht="12.75">
      <c r="C19" s="47">
        <v>2024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/>
    </row>
    <row r="20" spans="3:16" ht="12.75">
      <c r="C20" s="47">
        <v>2025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</row>
    <row r="21" spans="3:16" ht="12.75">
      <c r="C21" s="47">
        <v>2026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3:16" ht="12.75">
      <c r="C22" s="47">
        <v>2027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</row>
    <row r="23" spans="3:16" ht="12.75">
      <c r="C23" s="47">
        <v>2028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</row>
    <row r="24" spans="3:16" ht="12.75">
      <c r="C24" s="47">
        <v>2029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</row>
    <row r="25" spans="3:16" ht="25.5">
      <c r="C25" s="47" t="s">
        <v>107</v>
      </c>
      <c r="D25" s="47" t="s">
        <v>108</v>
      </c>
      <c r="E25" s="47" t="s">
        <v>109</v>
      </c>
      <c r="F25" s="47" t="s">
        <v>110</v>
      </c>
      <c r="G25" s="47" t="s">
        <v>111</v>
      </c>
      <c r="H25" s="47" t="s">
        <v>112</v>
      </c>
      <c r="I25" s="47" t="s">
        <v>113</v>
      </c>
      <c r="J25" s="47" t="s">
        <v>114</v>
      </c>
      <c r="K25" s="47" t="s">
        <v>115</v>
      </c>
      <c r="L25" s="47" t="s">
        <v>116</v>
      </c>
      <c r="M25" s="47" t="s">
        <v>117</v>
      </c>
      <c r="N25" s="47" t="s">
        <v>118</v>
      </c>
      <c r="O25" s="47" t="s">
        <v>119</v>
      </c>
      <c r="P25" s="47" t="s">
        <v>122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0"/>
  <sheetViews>
    <sheetView showGridLines="0" view="pageBreakPreview" zoomScaleSheetLayoutView="100" zoomScalePageLayoutView="0" workbookViewId="0" topLeftCell="A28">
      <selection activeCell="K36" sqref="K36"/>
    </sheetView>
  </sheetViews>
  <sheetFormatPr defaultColWidth="9.140625" defaultRowHeight="12.75"/>
  <cols>
    <col min="1" max="1" width="8.8515625" style="53" customWidth="1"/>
    <col min="2" max="2" width="9.28125" style="53" bestFit="1" customWidth="1"/>
    <col min="3" max="3" width="6.140625" style="53" bestFit="1" customWidth="1"/>
    <col min="4" max="4" width="66.8515625" style="53" customWidth="1"/>
    <col min="5" max="5" width="5.7109375" style="53" bestFit="1" customWidth="1"/>
    <col min="6" max="6" width="10.28125" style="53" customWidth="1"/>
    <col min="7" max="8" width="12.28125" style="53" customWidth="1"/>
    <col min="9" max="9" width="14.7109375" style="53" customWidth="1"/>
    <col min="10" max="10" width="10.28125" style="53" customWidth="1"/>
    <col min="11" max="12" width="9.140625" style="53" customWidth="1"/>
    <col min="13" max="13" width="40.140625" style="53" bestFit="1" customWidth="1"/>
    <col min="14" max="16384" width="9.140625" style="53" customWidth="1"/>
  </cols>
  <sheetData>
    <row r="2" spans="1:9" ht="12.75">
      <c r="A2" s="158" t="s">
        <v>21</v>
      </c>
      <c r="B2" s="159"/>
      <c r="C2" s="159"/>
      <c r="D2" s="159"/>
      <c r="E2" s="159"/>
      <c r="F2" s="159"/>
      <c r="G2" s="159"/>
      <c r="H2" s="159"/>
      <c r="I2" s="160"/>
    </row>
    <row r="3" spans="1:2" ht="12.75">
      <c r="A3" s="54" t="s">
        <v>76</v>
      </c>
      <c r="B3" s="54"/>
    </row>
    <row r="4" ht="13.5" thickBot="1"/>
    <row r="5" spans="1:9" ht="13.5" thickBot="1">
      <c r="A5" s="161" t="s">
        <v>14</v>
      </c>
      <c r="B5" s="162"/>
      <c r="C5" s="162"/>
      <c r="D5" s="162"/>
      <c r="E5" s="162"/>
      <c r="F5" s="162"/>
      <c r="G5" s="162"/>
      <c r="H5" s="162"/>
      <c r="I5" s="163"/>
    </row>
    <row r="7" spans="4:9" ht="12.75">
      <c r="D7" s="54" t="s">
        <v>74</v>
      </c>
      <c r="E7" s="156" t="s">
        <v>71</v>
      </c>
      <c r="F7" s="157"/>
      <c r="G7" s="157"/>
      <c r="H7" s="157"/>
      <c r="I7" s="157"/>
    </row>
    <row r="8" ht="12.75">
      <c r="D8" s="54"/>
    </row>
    <row r="9" spans="1:9" ht="12.75">
      <c r="A9" s="165" t="s">
        <v>0</v>
      </c>
      <c r="B9" s="39"/>
      <c r="C9" s="167" t="s">
        <v>20</v>
      </c>
      <c r="D9" s="154" t="s">
        <v>8</v>
      </c>
      <c r="E9" s="165" t="s">
        <v>65</v>
      </c>
      <c r="F9" s="165" t="s">
        <v>18</v>
      </c>
      <c r="G9" s="164" t="s">
        <v>9</v>
      </c>
      <c r="H9" s="164"/>
      <c r="I9" s="165" t="s">
        <v>10</v>
      </c>
    </row>
    <row r="10" spans="1:9" ht="12.75">
      <c r="A10" s="166"/>
      <c r="B10" s="40"/>
      <c r="C10" s="168"/>
      <c r="D10" s="155"/>
      <c r="E10" s="166"/>
      <c r="F10" s="166"/>
      <c r="G10" s="56" t="s">
        <v>32</v>
      </c>
      <c r="H10" s="56" t="s">
        <v>33</v>
      </c>
      <c r="I10" s="166"/>
    </row>
    <row r="11" ht="12.75">
      <c r="D11" s="57"/>
    </row>
    <row r="12" spans="1:4" ht="12.75">
      <c r="A12" s="58">
        <v>1</v>
      </c>
      <c r="B12" s="58"/>
      <c r="C12" s="58"/>
      <c r="D12" s="59" t="s">
        <v>161</v>
      </c>
    </row>
    <row r="13" spans="1:9" ht="12.75">
      <c r="A13" s="60" t="s">
        <v>82</v>
      </c>
      <c r="B13" s="61" t="s">
        <v>41</v>
      </c>
      <c r="C13" s="62">
        <v>4813</v>
      </c>
      <c r="D13" s="63" t="s">
        <v>36</v>
      </c>
      <c r="E13" s="64" t="s">
        <v>37</v>
      </c>
      <c r="F13" s="65">
        <f>2.2*1.1</f>
        <v>2.4200000000000004</v>
      </c>
      <c r="G13" s="66">
        <v>250</v>
      </c>
      <c r="H13" s="66">
        <f>ROUND((G13*1.25),2)</f>
        <v>312.5</v>
      </c>
      <c r="I13" s="67">
        <f>F13*H13</f>
        <v>756.2500000000001</v>
      </c>
    </row>
    <row r="14" spans="3:9" ht="12.75">
      <c r="C14" s="55"/>
      <c r="D14" s="68"/>
      <c r="E14" s="54"/>
      <c r="F14" s="54"/>
      <c r="G14" s="69"/>
      <c r="H14" s="69"/>
      <c r="I14" s="70"/>
    </row>
    <row r="15" spans="1:9" ht="12.75">
      <c r="A15" s="58">
        <v>2</v>
      </c>
      <c r="B15" s="58"/>
      <c r="C15" s="71"/>
      <c r="D15" s="59" t="s">
        <v>162</v>
      </c>
      <c r="E15" s="54"/>
      <c r="F15" s="54"/>
      <c r="G15" s="69"/>
      <c r="H15" s="69"/>
      <c r="I15" s="72"/>
    </row>
    <row r="16" spans="1:9" ht="25.5">
      <c r="A16" s="60" t="s">
        <v>83</v>
      </c>
      <c r="B16" s="61" t="s">
        <v>35</v>
      </c>
      <c r="C16" s="73" t="s">
        <v>38</v>
      </c>
      <c r="D16" s="74" t="s">
        <v>39</v>
      </c>
      <c r="E16" s="64" t="s">
        <v>40</v>
      </c>
      <c r="F16" s="75">
        <f>75*0.2*0.3</f>
        <v>4.5</v>
      </c>
      <c r="G16" s="76">
        <v>84.26</v>
      </c>
      <c r="H16" s="66">
        <f aca="true" t="shared" si="0" ref="H16:H22">ROUND((G16*1.25),2)</f>
        <v>105.33</v>
      </c>
      <c r="I16" s="67">
        <f aca="true" t="shared" si="1" ref="I16:I22">F16*H16</f>
        <v>473.985</v>
      </c>
    </row>
    <row r="17" spans="1:9" ht="63.75">
      <c r="A17" s="60" t="s">
        <v>84</v>
      </c>
      <c r="B17" s="61" t="s">
        <v>35</v>
      </c>
      <c r="C17" s="73" t="s">
        <v>138</v>
      </c>
      <c r="D17" s="74" t="s">
        <v>139</v>
      </c>
      <c r="E17" s="64" t="s">
        <v>37</v>
      </c>
      <c r="F17" s="75">
        <f>((13+16+16+20+20-1.2-1.2)*2.2)+((10+10+5.25+5.25)*4)</f>
        <v>303.72</v>
      </c>
      <c r="G17" s="76">
        <v>176.13</v>
      </c>
      <c r="H17" s="66">
        <f t="shared" si="0"/>
        <v>220.16</v>
      </c>
      <c r="I17" s="67">
        <f t="shared" si="1"/>
        <v>66866.9952</v>
      </c>
    </row>
    <row r="18" spans="1:9" ht="38.25">
      <c r="A18" s="60" t="s">
        <v>85</v>
      </c>
      <c r="B18" s="61" t="s">
        <v>35</v>
      </c>
      <c r="C18" s="73" t="s">
        <v>145</v>
      </c>
      <c r="D18" s="74" t="s">
        <v>146</v>
      </c>
      <c r="E18" s="64" t="s">
        <v>40</v>
      </c>
      <c r="F18" s="65">
        <f>F16</f>
        <v>4.5</v>
      </c>
      <c r="G18" s="66">
        <v>480.22</v>
      </c>
      <c r="H18" s="66">
        <f t="shared" si="0"/>
        <v>600.28</v>
      </c>
      <c r="I18" s="67">
        <f t="shared" si="1"/>
        <v>2701.2599999999998</v>
      </c>
    </row>
    <row r="19" spans="1:9" ht="51">
      <c r="A19" s="60" t="s">
        <v>149</v>
      </c>
      <c r="B19" s="61" t="s">
        <v>35</v>
      </c>
      <c r="C19" s="73" t="s">
        <v>147</v>
      </c>
      <c r="D19" s="74" t="s">
        <v>148</v>
      </c>
      <c r="E19" s="64" t="s">
        <v>37</v>
      </c>
      <c r="F19" s="75">
        <f>((13+16+16+20+20-1.2-1.2)*0.3)+((10+10+5.25+5.25)*0.3)</f>
        <v>33.93</v>
      </c>
      <c r="G19" s="66">
        <v>138.41</v>
      </c>
      <c r="H19" s="66">
        <f t="shared" si="0"/>
        <v>173.01</v>
      </c>
      <c r="I19" s="67">
        <f t="shared" si="1"/>
        <v>5870.2293</v>
      </c>
    </row>
    <row r="20" spans="1:9" ht="51">
      <c r="A20" s="60" t="s">
        <v>150</v>
      </c>
      <c r="B20" s="61" t="s">
        <v>35</v>
      </c>
      <c r="C20" s="73" t="s">
        <v>152</v>
      </c>
      <c r="D20" s="74" t="s">
        <v>153</v>
      </c>
      <c r="E20" s="64" t="s">
        <v>37</v>
      </c>
      <c r="F20" s="75">
        <f>F19*2</f>
        <v>67.86</v>
      </c>
      <c r="G20" s="66">
        <v>7.68</v>
      </c>
      <c r="H20" s="66">
        <f t="shared" si="0"/>
        <v>9.6</v>
      </c>
      <c r="I20" s="67">
        <f t="shared" si="1"/>
        <v>651.456</v>
      </c>
    </row>
    <row r="21" spans="1:9" ht="38.25">
      <c r="A21" s="60" t="s">
        <v>151</v>
      </c>
      <c r="B21" s="61" t="s">
        <v>35</v>
      </c>
      <c r="C21" s="73" t="s">
        <v>156</v>
      </c>
      <c r="D21" s="74" t="s">
        <v>157</v>
      </c>
      <c r="E21" s="64" t="s">
        <v>37</v>
      </c>
      <c r="F21" s="75">
        <f>F20</f>
        <v>67.86</v>
      </c>
      <c r="G21" s="66">
        <v>40.73</v>
      </c>
      <c r="H21" s="66">
        <f t="shared" si="0"/>
        <v>50.91</v>
      </c>
      <c r="I21" s="67"/>
    </row>
    <row r="22" spans="1:9" ht="38.25">
      <c r="A22" s="60" t="s">
        <v>155</v>
      </c>
      <c r="B22" s="61" t="s">
        <v>41</v>
      </c>
      <c r="C22" s="73" t="s">
        <v>42</v>
      </c>
      <c r="D22" s="74" t="s">
        <v>66</v>
      </c>
      <c r="E22" s="64" t="s">
        <v>37</v>
      </c>
      <c r="F22" s="65">
        <f>(1.2*2.2)</f>
        <v>2.64</v>
      </c>
      <c r="G22" s="66">
        <v>502.5</v>
      </c>
      <c r="H22" s="66">
        <f t="shared" si="0"/>
        <v>628.13</v>
      </c>
      <c r="I22" s="67">
        <f t="shared" si="1"/>
        <v>1658.2632</v>
      </c>
    </row>
    <row r="23" spans="3:9" ht="12.75">
      <c r="C23" s="55"/>
      <c r="D23" s="68"/>
      <c r="E23" s="54"/>
      <c r="F23" s="54"/>
      <c r="G23" s="69"/>
      <c r="H23" s="69"/>
      <c r="I23" s="72"/>
    </row>
    <row r="24" spans="1:9" ht="12.75">
      <c r="A24" s="58">
        <v>3</v>
      </c>
      <c r="B24" s="58"/>
      <c r="C24" s="71"/>
      <c r="D24" s="59" t="s">
        <v>52</v>
      </c>
      <c r="E24" s="54"/>
      <c r="F24" s="54"/>
      <c r="G24" s="69"/>
      <c r="H24" s="69"/>
      <c r="I24" s="72"/>
    </row>
    <row r="25" spans="1:9" ht="12.75">
      <c r="A25" s="58"/>
      <c r="B25" s="58"/>
      <c r="C25" s="71"/>
      <c r="D25" s="59" t="s">
        <v>163</v>
      </c>
      <c r="E25" s="54"/>
      <c r="F25" s="54"/>
      <c r="G25" s="69"/>
      <c r="H25" s="69"/>
      <c r="I25" s="72"/>
    </row>
    <row r="26" spans="1:9" ht="38.25">
      <c r="A26" s="60" t="s">
        <v>86</v>
      </c>
      <c r="B26" s="77" t="s">
        <v>35</v>
      </c>
      <c r="C26" s="73" t="s">
        <v>45</v>
      </c>
      <c r="D26" s="74" t="s">
        <v>46</v>
      </c>
      <c r="E26" s="64" t="s">
        <v>37</v>
      </c>
      <c r="F26" s="78">
        <f>2.64*2</f>
        <v>5.28</v>
      </c>
      <c r="G26" s="79">
        <v>23.15</v>
      </c>
      <c r="H26" s="66">
        <f>ROUND((G26*1.25),2)</f>
        <v>28.94</v>
      </c>
      <c r="I26" s="67">
        <f>F26*H26</f>
        <v>152.8032</v>
      </c>
    </row>
    <row r="27" spans="1:9" ht="51">
      <c r="A27" s="80" t="s">
        <v>87</v>
      </c>
      <c r="B27" s="77" t="s">
        <v>35</v>
      </c>
      <c r="C27" s="73" t="s">
        <v>43</v>
      </c>
      <c r="D27" s="74" t="s">
        <v>44</v>
      </c>
      <c r="E27" s="64" t="s">
        <v>37</v>
      </c>
      <c r="F27" s="78">
        <f>2.64*2</f>
        <v>5.28</v>
      </c>
      <c r="G27" s="79">
        <v>47.42</v>
      </c>
      <c r="H27" s="66">
        <f>ROUND((G27*1.25),2)</f>
        <v>59.28</v>
      </c>
      <c r="I27" s="67">
        <f>F27*H27</f>
        <v>312.9984</v>
      </c>
    </row>
    <row r="28" spans="1:9" ht="12.75">
      <c r="A28" s="58"/>
      <c r="B28" s="58"/>
      <c r="C28" s="71"/>
      <c r="D28" s="59" t="s">
        <v>164</v>
      </c>
      <c r="E28" s="54"/>
      <c r="F28" s="54"/>
      <c r="G28" s="69"/>
      <c r="H28" s="69"/>
      <c r="I28" s="72"/>
    </row>
    <row r="29" spans="1:9" ht="25.5">
      <c r="A29" s="80" t="s">
        <v>154</v>
      </c>
      <c r="B29" s="77" t="s">
        <v>35</v>
      </c>
      <c r="C29" s="73" t="s">
        <v>159</v>
      </c>
      <c r="D29" s="74" t="s">
        <v>160</v>
      </c>
      <c r="E29" s="64" t="s">
        <v>37</v>
      </c>
      <c r="F29" s="78">
        <f>F21</f>
        <v>67.86</v>
      </c>
      <c r="G29" s="79">
        <v>3.07</v>
      </c>
      <c r="H29" s="66">
        <f>ROUND((G29*1.25),2)</f>
        <v>3.84</v>
      </c>
      <c r="I29" s="67">
        <f>F29*H29</f>
        <v>260.5824</v>
      </c>
    </row>
    <row r="30" spans="1:9" ht="25.5">
      <c r="A30" s="80" t="s">
        <v>158</v>
      </c>
      <c r="B30" s="77" t="s">
        <v>35</v>
      </c>
      <c r="C30" s="73" t="s">
        <v>166</v>
      </c>
      <c r="D30" s="74" t="s">
        <v>167</v>
      </c>
      <c r="E30" s="64" t="s">
        <v>37</v>
      </c>
      <c r="F30" s="78">
        <f>F29</f>
        <v>67.86</v>
      </c>
      <c r="G30" s="79">
        <v>10.17</v>
      </c>
      <c r="H30" s="66">
        <f>ROUND((G30*1.25),2)</f>
        <v>12.71</v>
      </c>
      <c r="I30" s="67">
        <f>F30*H30</f>
        <v>862.5006000000001</v>
      </c>
    </row>
    <row r="31" spans="3:9" ht="12.75">
      <c r="C31" s="55"/>
      <c r="D31" s="68"/>
      <c r="E31" s="54"/>
      <c r="F31" s="54"/>
      <c r="G31" s="69"/>
      <c r="H31" s="69"/>
      <c r="I31" s="72"/>
    </row>
    <row r="32" spans="1:9" ht="12.75">
      <c r="A32" s="58">
        <v>4</v>
      </c>
      <c r="B32" s="58"/>
      <c r="C32" s="71"/>
      <c r="D32" s="59" t="s">
        <v>165</v>
      </c>
      <c r="E32" s="54"/>
      <c r="F32" s="54"/>
      <c r="G32" s="69"/>
      <c r="H32" s="69"/>
      <c r="I32" s="72"/>
    </row>
    <row r="33" spans="1:9" ht="63.75">
      <c r="A33" s="60" t="s">
        <v>88</v>
      </c>
      <c r="B33" s="81" t="s">
        <v>35</v>
      </c>
      <c r="C33" s="82">
        <v>104473</v>
      </c>
      <c r="D33" s="83" t="s">
        <v>75</v>
      </c>
      <c r="E33" s="84" t="s">
        <v>67</v>
      </c>
      <c r="F33" s="85">
        <v>2</v>
      </c>
      <c r="G33" s="86">
        <v>167.2</v>
      </c>
      <c r="H33" s="66">
        <f>ROUND((G33*1.25),2)</f>
        <v>209</v>
      </c>
      <c r="I33" s="87">
        <f>F33*H33</f>
        <v>418</v>
      </c>
    </row>
    <row r="34" spans="1:10" ht="25.5">
      <c r="A34" s="80" t="s">
        <v>89</v>
      </c>
      <c r="B34" s="81" t="s">
        <v>35</v>
      </c>
      <c r="C34" s="82" t="s">
        <v>68</v>
      </c>
      <c r="D34" s="83" t="s">
        <v>69</v>
      </c>
      <c r="E34" s="84" t="s">
        <v>67</v>
      </c>
      <c r="F34" s="85">
        <v>2</v>
      </c>
      <c r="G34" s="86">
        <v>397.12</v>
      </c>
      <c r="H34" s="66">
        <f>ROUND((G34*1.25),2)</f>
        <v>496.4</v>
      </c>
      <c r="I34" s="87">
        <f>F34*H34</f>
        <v>992.8</v>
      </c>
      <c r="J34" s="88"/>
    </row>
    <row r="35" spans="3:9" ht="13.5" thickBot="1">
      <c r="C35" s="55"/>
      <c r="D35" s="68"/>
      <c r="E35" s="54"/>
      <c r="F35" s="54"/>
      <c r="G35" s="69"/>
      <c r="H35" s="69"/>
      <c r="I35" s="72"/>
    </row>
    <row r="36" spans="1:9" ht="13.5" thickBot="1">
      <c r="A36" s="102" t="s">
        <v>169</v>
      </c>
      <c r="B36" s="103"/>
      <c r="C36" s="104"/>
      <c r="D36" s="104"/>
      <c r="E36" s="105"/>
      <c r="F36" s="105"/>
      <c r="G36" s="106"/>
      <c r="H36" s="106"/>
      <c r="I36" s="107">
        <f>SUM(I13:I35)</f>
        <v>81978.1233</v>
      </c>
    </row>
    <row r="38" spans="1:9" ht="12.75">
      <c r="A38" s="58">
        <v>5</v>
      </c>
      <c r="B38" s="58"/>
      <c r="C38" s="71"/>
      <c r="D38" s="59" t="s">
        <v>168</v>
      </c>
      <c r="E38" s="54"/>
      <c r="F38" s="54"/>
      <c r="G38" s="69"/>
      <c r="H38" s="69"/>
      <c r="I38" s="72"/>
    </row>
    <row r="39" spans="1:15" ht="12.75">
      <c r="A39" s="60" t="s">
        <v>90</v>
      </c>
      <c r="B39" s="113" t="s">
        <v>35</v>
      </c>
      <c r="C39" s="90">
        <v>103186</v>
      </c>
      <c r="D39" s="91" t="s">
        <v>129</v>
      </c>
      <c r="E39" s="92" t="s">
        <v>2</v>
      </c>
      <c r="F39" s="93">
        <v>1</v>
      </c>
      <c r="G39" s="94">
        <v>6489.29</v>
      </c>
      <c r="H39" s="95">
        <f aca="true" t="shared" si="2" ref="H39:H52">ROUND((G39*1.15),2)</f>
        <v>7462.68</v>
      </c>
      <c r="I39" s="96">
        <f aca="true" t="shared" si="3" ref="I39:I51">F39*H39</f>
        <v>7462.68</v>
      </c>
      <c r="J39" s="88"/>
      <c r="K39" s="111" t="s">
        <v>124</v>
      </c>
      <c r="M39" s="110" t="s">
        <v>22</v>
      </c>
      <c r="N39" s="88">
        <v>1</v>
      </c>
      <c r="O39" s="112" t="s">
        <v>51</v>
      </c>
    </row>
    <row r="40" spans="1:15" ht="12.75">
      <c r="A40" s="60" t="s">
        <v>91</v>
      </c>
      <c r="B40" s="89" t="s">
        <v>34</v>
      </c>
      <c r="C40" s="90">
        <v>5</v>
      </c>
      <c r="D40" s="91" t="s">
        <v>47</v>
      </c>
      <c r="E40" s="92" t="s">
        <v>130</v>
      </c>
      <c r="F40" s="93">
        <v>6.5302</v>
      </c>
      <c r="G40" s="94">
        <v>80.23</v>
      </c>
      <c r="H40" s="95">
        <f t="shared" si="2"/>
        <v>92.26</v>
      </c>
      <c r="I40" s="96">
        <f t="shared" si="3"/>
        <v>602.476252</v>
      </c>
      <c r="J40" s="88"/>
      <c r="K40" s="97" t="s">
        <v>131</v>
      </c>
      <c r="M40" s="110" t="s">
        <v>47</v>
      </c>
      <c r="N40" s="88">
        <v>1</v>
      </c>
      <c r="O40" s="53" t="s">
        <v>54</v>
      </c>
    </row>
    <row r="41" spans="1:15" ht="12.75">
      <c r="A41" s="60" t="s">
        <v>92</v>
      </c>
      <c r="B41" s="89" t="s">
        <v>34</v>
      </c>
      <c r="C41" s="90">
        <v>5</v>
      </c>
      <c r="D41" s="91" t="s">
        <v>123</v>
      </c>
      <c r="E41" s="92" t="s">
        <v>130</v>
      </c>
      <c r="F41" s="93">
        <v>8.1196</v>
      </c>
      <c r="G41" s="94">
        <v>80.23</v>
      </c>
      <c r="H41" s="95">
        <f t="shared" si="2"/>
        <v>92.26</v>
      </c>
      <c r="I41" s="96">
        <f t="shared" si="3"/>
        <v>749.1142960000001</v>
      </c>
      <c r="J41" s="88"/>
      <c r="K41" s="97" t="s">
        <v>131</v>
      </c>
      <c r="M41" s="110" t="s">
        <v>48</v>
      </c>
      <c r="N41" s="88">
        <v>1</v>
      </c>
      <c r="O41" s="53" t="s">
        <v>52</v>
      </c>
    </row>
    <row r="42" spans="1:15" ht="12.75">
      <c r="A42" s="60" t="s">
        <v>93</v>
      </c>
      <c r="B42" s="89" t="s">
        <v>34</v>
      </c>
      <c r="C42" s="90">
        <v>5</v>
      </c>
      <c r="D42" s="91" t="s">
        <v>125</v>
      </c>
      <c r="E42" s="92" t="s">
        <v>130</v>
      </c>
      <c r="F42" s="93"/>
      <c r="G42" s="94">
        <v>6094.27</v>
      </c>
      <c r="H42" s="95">
        <f t="shared" si="2"/>
        <v>7008.41</v>
      </c>
      <c r="I42" s="96">
        <f t="shared" si="3"/>
        <v>0</v>
      </c>
      <c r="J42" s="88"/>
      <c r="K42" s="97" t="s">
        <v>131</v>
      </c>
      <c r="M42" s="110" t="s">
        <v>49</v>
      </c>
      <c r="N42" s="88">
        <v>1</v>
      </c>
      <c r="O42" s="53" t="s">
        <v>53</v>
      </c>
    </row>
    <row r="43" spans="1:15" ht="12.75">
      <c r="A43" s="60" t="s">
        <v>94</v>
      </c>
      <c r="B43" s="89" t="s">
        <v>34</v>
      </c>
      <c r="C43" s="90">
        <v>5</v>
      </c>
      <c r="D43" s="91" t="s">
        <v>23</v>
      </c>
      <c r="E43" s="92" t="s">
        <v>130</v>
      </c>
      <c r="F43" s="93">
        <v>20.276</v>
      </c>
      <c r="G43" s="94">
        <v>80.23</v>
      </c>
      <c r="H43" s="95">
        <f t="shared" si="2"/>
        <v>92.26</v>
      </c>
      <c r="I43" s="96">
        <f t="shared" si="3"/>
        <v>1870.6637600000001</v>
      </c>
      <c r="J43" s="88"/>
      <c r="K43" s="97" t="s">
        <v>131</v>
      </c>
      <c r="M43" s="110" t="s">
        <v>23</v>
      </c>
      <c r="N43" s="88">
        <v>1</v>
      </c>
      <c r="O43" s="53" t="s">
        <v>52</v>
      </c>
    </row>
    <row r="44" spans="1:15" ht="12.75">
      <c r="A44" s="60" t="s">
        <v>95</v>
      </c>
      <c r="B44" s="113" t="s">
        <v>35</v>
      </c>
      <c r="C44" s="90">
        <v>103207</v>
      </c>
      <c r="D44" s="91" t="s">
        <v>55</v>
      </c>
      <c r="E44" s="92" t="s">
        <v>2</v>
      </c>
      <c r="F44" s="93">
        <v>1</v>
      </c>
      <c r="G44" s="94">
        <v>2545.23</v>
      </c>
      <c r="H44" s="95">
        <f t="shared" si="2"/>
        <v>2927.01</v>
      </c>
      <c r="I44" s="96">
        <f t="shared" si="3"/>
        <v>2927.01</v>
      </c>
      <c r="J44" s="88"/>
      <c r="K44" s="111" t="s">
        <v>124</v>
      </c>
      <c r="M44" s="110" t="s">
        <v>55</v>
      </c>
      <c r="N44" s="88">
        <v>1</v>
      </c>
      <c r="O44" s="112" t="s">
        <v>51</v>
      </c>
    </row>
    <row r="45" spans="1:15" ht="12.75">
      <c r="A45" s="60" t="s">
        <v>96</v>
      </c>
      <c r="B45" s="89" t="s">
        <v>34</v>
      </c>
      <c r="C45" s="90">
        <v>5</v>
      </c>
      <c r="D45" s="91" t="s">
        <v>50</v>
      </c>
      <c r="E45" s="92" t="s">
        <v>130</v>
      </c>
      <c r="F45" s="93">
        <v>1</v>
      </c>
      <c r="G45" s="94">
        <v>5194.13</v>
      </c>
      <c r="H45" s="95">
        <f t="shared" si="2"/>
        <v>5973.25</v>
      </c>
      <c r="I45" s="96">
        <f t="shared" si="3"/>
        <v>5973.25</v>
      </c>
      <c r="J45" s="88"/>
      <c r="K45" s="97" t="s">
        <v>131</v>
      </c>
      <c r="M45" s="110" t="s">
        <v>50</v>
      </c>
      <c r="N45" s="88">
        <v>1</v>
      </c>
      <c r="O45" s="53" t="s">
        <v>56</v>
      </c>
    </row>
    <row r="46" spans="1:15" ht="12.75">
      <c r="A46" s="60" t="s">
        <v>97</v>
      </c>
      <c r="B46" s="89" t="s">
        <v>34</v>
      </c>
      <c r="C46" s="90">
        <v>5</v>
      </c>
      <c r="D46" s="91" t="s">
        <v>24</v>
      </c>
      <c r="E46" s="92" t="s">
        <v>130</v>
      </c>
      <c r="F46" s="93">
        <v>1</v>
      </c>
      <c r="G46" s="94">
        <v>6427.62</v>
      </c>
      <c r="H46" s="95">
        <f t="shared" si="2"/>
        <v>7391.76</v>
      </c>
      <c r="I46" s="96">
        <f t="shared" si="3"/>
        <v>7391.76</v>
      </c>
      <c r="J46" s="88"/>
      <c r="K46" s="97" t="s">
        <v>131</v>
      </c>
      <c r="M46" s="110" t="s">
        <v>24</v>
      </c>
      <c r="N46" s="88">
        <v>1</v>
      </c>
      <c r="O46" s="53" t="s">
        <v>57</v>
      </c>
    </row>
    <row r="47" spans="1:15" ht="12.75">
      <c r="A47" s="60" t="s">
        <v>98</v>
      </c>
      <c r="B47" s="89" t="s">
        <v>34</v>
      </c>
      <c r="C47" s="90">
        <v>5</v>
      </c>
      <c r="D47" s="91" t="s">
        <v>72</v>
      </c>
      <c r="E47" s="92" t="s">
        <v>130</v>
      </c>
      <c r="F47" s="93">
        <f>2*1</f>
        <v>2</v>
      </c>
      <c r="G47" s="94">
        <f>80.23+672.5</f>
        <v>752.73</v>
      </c>
      <c r="H47" s="95">
        <f t="shared" si="2"/>
        <v>865.64</v>
      </c>
      <c r="I47" s="96">
        <f t="shared" si="3"/>
        <v>1731.28</v>
      </c>
      <c r="J47" s="88"/>
      <c r="K47" s="97" t="s">
        <v>132</v>
      </c>
      <c r="M47" s="110" t="s">
        <v>140</v>
      </c>
      <c r="N47" s="88">
        <v>1</v>
      </c>
      <c r="O47" s="54" t="s">
        <v>64</v>
      </c>
    </row>
    <row r="48" spans="1:15" ht="12.75">
      <c r="A48" s="60" t="s">
        <v>99</v>
      </c>
      <c r="B48" s="89" t="s">
        <v>34</v>
      </c>
      <c r="C48" s="90">
        <v>5</v>
      </c>
      <c r="D48" s="91" t="s">
        <v>133</v>
      </c>
      <c r="E48" s="92" t="s">
        <v>130</v>
      </c>
      <c r="F48" s="93">
        <f>2*1</f>
        <v>2</v>
      </c>
      <c r="G48" s="94">
        <f>80.23+672.5</f>
        <v>752.73</v>
      </c>
      <c r="H48" s="95">
        <f t="shared" si="2"/>
        <v>865.64</v>
      </c>
      <c r="I48" s="96">
        <f t="shared" si="3"/>
        <v>1731.28</v>
      </c>
      <c r="J48" s="88"/>
      <c r="K48" s="97" t="s">
        <v>132</v>
      </c>
      <c r="M48" s="110" t="s">
        <v>141</v>
      </c>
      <c r="N48" s="88">
        <v>1</v>
      </c>
      <c r="O48" s="54" t="s">
        <v>64</v>
      </c>
    </row>
    <row r="49" spans="1:15" ht="12.75">
      <c r="A49" s="60" t="s">
        <v>100</v>
      </c>
      <c r="B49" s="113" t="s">
        <v>34</v>
      </c>
      <c r="C49" s="90">
        <v>5</v>
      </c>
      <c r="D49" s="91" t="s">
        <v>134</v>
      </c>
      <c r="E49" s="92" t="s">
        <v>130</v>
      </c>
      <c r="F49" s="93">
        <v>13.751</v>
      </c>
      <c r="G49" s="94">
        <v>80.23</v>
      </c>
      <c r="H49" s="95">
        <f t="shared" si="2"/>
        <v>92.26</v>
      </c>
      <c r="I49" s="96">
        <f t="shared" si="3"/>
        <v>1268.66726</v>
      </c>
      <c r="J49" s="88"/>
      <c r="K49" s="97" t="s">
        <v>131</v>
      </c>
      <c r="M49" s="110" t="s">
        <v>59</v>
      </c>
      <c r="N49" s="88">
        <v>1</v>
      </c>
      <c r="O49" s="112" t="s">
        <v>58</v>
      </c>
    </row>
    <row r="50" spans="1:15" ht="12.75">
      <c r="A50" s="60" t="s">
        <v>101</v>
      </c>
      <c r="B50" s="113" t="s">
        <v>34</v>
      </c>
      <c r="C50" s="90">
        <v>5</v>
      </c>
      <c r="D50" s="91" t="s">
        <v>60</v>
      </c>
      <c r="E50" s="92" t="s">
        <v>130</v>
      </c>
      <c r="F50" s="93">
        <v>13.751</v>
      </c>
      <c r="G50" s="94">
        <v>80.23</v>
      </c>
      <c r="H50" s="95">
        <f>ROUND((G50*1.15),2)</f>
        <v>92.26</v>
      </c>
      <c r="I50" s="96">
        <f>F50*H50</f>
        <v>1268.66726</v>
      </c>
      <c r="J50" s="88"/>
      <c r="K50" s="97" t="s">
        <v>131</v>
      </c>
      <c r="M50" s="110" t="s">
        <v>60</v>
      </c>
      <c r="N50" s="88">
        <v>1</v>
      </c>
      <c r="O50" s="112" t="s">
        <v>63</v>
      </c>
    </row>
    <row r="51" spans="1:15" ht="12.75">
      <c r="A51" s="60" t="s">
        <v>102</v>
      </c>
      <c r="B51" s="89" t="s">
        <v>34</v>
      </c>
      <c r="C51" s="90">
        <v>5</v>
      </c>
      <c r="D51" s="91" t="s">
        <v>128</v>
      </c>
      <c r="E51" s="92" t="s">
        <v>130</v>
      </c>
      <c r="F51" s="93"/>
      <c r="G51" s="94">
        <v>1947.68</v>
      </c>
      <c r="H51" s="95">
        <f t="shared" si="2"/>
        <v>2239.83</v>
      </c>
      <c r="I51" s="96">
        <f t="shared" si="3"/>
        <v>0</v>
      </c>
      <c r="J51" s="88"/>
      <c r="K51" s="97" t="s">
        <v>131</v>
      </c>
      <c r="M51" s="110" t="s">
        <v>61</v>
      </c>
      <c r="N51" s="88">
        <v>1</v>
      </c>
      <c r="O51" s="53" t="s">
        <v>62</v>
      </c>
    </row>
    <row r="52" spans="1:15" ht="12.75">
      <c r="A52" s="60" t="s">
        <v>103</v>
      </c>
      <c r="B52" s="89" t="s">
        <v>34</v>
      </c>
      <c r="C52" s="90">
        <v>5</v>
      </c>
      <c r="D52" s="91" t="s">
        <v>26</v>
      </c>
      <c r="E52" s="92" t="s">
        <v>130</v>
      </c>
      <c r="F52" s="93">
        <f>1.1*2</f>
        <v>2.2</v>
      </c>
      <c r="G52" s="94">
        <v>80.23</v>
      </c>
      <c r="H52" s="95">
        <f t="shared" si="2"/>
        <v>92.26</v>
      </c>
      <c r="I52" s="96">
        <f>F52*H52</f>
        <v>202.97200000000004</v>
      </c>
      <c r="J52" s="88"/>
      <c r="K52" s="97" t="s">
        <v>131</v>
      </c>
      <c r="M52" s="110" t="s">
        <v>142</v>
      </c>
      <c r="N52" s="88">
        <v>1</v>
      </c>
      <c r="O52" s="53" t="s">
        <v>143</v>
      </c>
    </row>
    <row r="53" spans="1:15" ht="12.75">
      <c r="A53" s="60" t="s">
        <v>127</v>
      </c>
      <c r="B53" s="113" t="s">
        <v>35</v>
      </c>
      <c r="C53" s="90">
        <v>103307</v>
      </c>
      <c r="D53" s="91" t="s">
        <v>104</v>
      </c>
      <c r="E53" s="92" t="s">
        <v>2</v>
      </c>
      <c r="F53" s="93">
        <v>1</v>
      </c>
      <c r="G53" s="94">
        <v>1334.1</v>
      </c>
      <c r="H53" s="95">
        <f>ROUND((G53*1.15),2)</f>
        <v>1534.22</v>
      </c>
      <c r="I53" s="96">
        <f>F53*H53</f>
        <v>1534.22</v>
      </c>
      <c r="J53" s="88"/>
      <c r="K53" s="97" t="s">
        <v>124</v>
      </c>
      <c r="M53" s="110" t="s">
        <v>26</v>
      </c>
      <c r="N53" s="88">
        <v>1</v>
      </c>
      <c r="O53" s="99" t="s">
        <v>52</v>
      </c>
    </row>
    <row r="54" spans="1:11" ht="12.75">
      <c r="A54" s="60" t="s">
        <v>135</v>
      </c>
      <c r="B54" s="89" t="s">
        <v>34</v>
      </c>
      <c r="C54" s="90">
        <v>5</v>
      </c>
      <c r="D54" s="91" t="s">
        <v>126</v>
      </c>
      <c r="E54" s="92" t="s">
        <v>130</v>
      </c>
      <c r="F54" s="93"/>
      <c r="G54" s="94"/>
      <c r="H54" s="95">
        <f>ROUND((G54*1.15),2)</f>
        <v>0</v>
      </c>
      <c r="I54" s="96">
        <f>F54*H54</f>
        <v>0</v>
      </c>
      <c r="J54" s="88"/>
      <c r="K54" s="97" t="s">
        <v>131</v>
      </c>
    </row>
    <row r="55" spans="1:11" ht="12.75">
      <c r="A55" s="60" t="s">
        <v>135</v>
      </c>
      <c r="B55" s="89" t="s">
        <v>34</v>
      </c>
      <c r="C55" s="90">
        <v>5</v>
      </c>
      <c r="D55" s="91" t="s">
        <v>126</v>
      </c>
      <c r="E55" s="92" t="s">
        <v>130</v>
      </c>
      <c r="F55" s="93"/>
      <c r="G55" s="94">
        <v>1246.63</v>
      </c>
      <c r="H55" s="95">
        <f>ROUND((G55*1.15),2)</f>
        <v>1433.62</v>
      </c>
      <c r="I55" s="96">
        <f>F55*H55</f>
        <v>0</v>
      </c>
      <c r="J55" s="88"/>
      <c r="K55" s="97" t="s">
        <v>137</v>
      </c>
    </row>
    <row r="56" spans="1:11" ht="25.5">
      <c r="A56" s="60" t="s">
        <v>136</v>
      </c>
      <c r="B56" s="89" t="s">
        <v>34</v>
      </c>
      <c r="C56" s="90">
        <v>1</v>
      </c>
      <c r="D56" s="98" t="s">
        <v>105</v>
      </c>
      <c r="E56" s="92" t="s">
        <v>130</v>
      </c>
      <c r="F56" s="78">
        <f>((0.5*0.5)*2)+((0.2*0.2)*3)</f>
        <v>0.62</v>
      </c>
      <c r="G56" s="94">
        <v>339.28</v>
      </c>
      <c r="H56" s="95">
        <f>ROUND((G56*1.15),2)</f>
        <v>390.17</v>
      </c>
      <c r="I56" s="96">
        <f>F56*H56</f>
        <v>241.90540000000001</v>
      </c>
      <c r="J56" s="88"/>
      <c r="K56" s="99"/>
    </row>
    <row r="57" spans="1:9" ht="13.5" thickBot="1">
      <c r="A57" s="100"/>
      <c r="B57" s="100"/>
      <c r="C57" s="100"/>
      <c r="D57" s="54"/>
      <c r="E57" s="54"/>
      <c r="F57" s="101"/>
      <c r="G57" s="70"/>
      <c r="H57" s="70"/>
      <c r="I57" s="70"/>
    </row>
    <row r="58" spans="1:9" ht="13.5" thickBot="1">
      <c r="A58" s="102" t="s">
        <v>170</v>
      </c>
      <c r="B58" s="103"/>
      <c r="C58" s="104"/>
      <c r="D58" s="104"/>
      <c r="E58" s="105"/>
      <c r="F58" s="105"/>
      <c r="G58" s="106"/>
      <c r="H58" s="106"/>
      <c r="I58" s="107">
        <f>SUM(I39:I57)</f>
        <v>34955.946228</v>
      </c>
    </row>
    <row r="59" ht="13.5" thickBot="1"/>
    <row r="60" spans="1:9" ht="13.5" thickBot="1">
      <c r="A60" s="102" t="s">
        <v>70</v>
      </c>
      <c r="B60" s="103"/>
      <c r="C60" s="104"/>
      <c r="D60" s="104"/>
      <c r="E60" s="105"/>
      <c r="F60" s="105"/>
      <c r="G60" s="106"/>
      <c r="H60" s="106"/>
      <c r="I60" s="107">
        <f>I36+I58</f>
        <v>116934.069528</v>
      </c>
    </row>
    <row r="62" ht="12.75">
      <c r="D62" s="54" t="s">
        <v>144</v>
      </c>
    </row>
    <row r="63" spans="6:9" ht="12.75">
      <c r="F63" s="108"/>
      <c r="G63" s="108"/>
      <c r="H63" s="108"/>
      <c r="I63" s="108"/>
    </row>
    <row r="64" ht="12.75">
      <c r="F64" s="53" t="s">
        <v>27</v>
      </c>
    </row>
    <row r="65" ht="12.75">
      <c r="F65" s="109" t="s">
        <v>28</v>
      </c>
    </row>
    <row r="66" ht="12.75">
      <c r="F66" s="109"/>
    </row>
    <row r="67" ht="12.75">
      <c r="F67" s="109"/>
    </row>
    <row r="68" spans="6:9" ht="12.75">
      <c r="F68" s="108"/>
      <c r="G68" s="108"/>
      <c r="H68" s="108"/>
      <c r="I68" s="108"/>
    </row>
    <row r="69" ht="12.75">
      <c r="F69" s="53" t="s">
        <v>29</v>
      </c>
    </row>
    <row r="70" ht="12.75">
      <c r="F70" s="109" t="s">
        <v>30</v>
      </c>
    </row>
  </sheetData>
  <sheetProtection/>
  <mergeCells count="10">
    <mergeCell ref="A2:I2"/>
    <mergeCell ref="A5:I5"/>
    <mergeCell ref="E7:I7"/>
    <mergeCell ref="A9:A10"/>
    <mergeCell ref="C9:C10"/>
    <mergeCell ref="D9:D10"/>
    <mergeCell ref="E9:E10"/>
    <mergeCell ref="F9:F10"/>
    <mergeCell ref="G9:H9"/>
    <mergeCell ref="I9:I10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34" r:id="rId3"/>
  <legacyDrawing r:id="rId2"/>
  <oleObjects>
    <oleObject progId="CorelDRAW.Graphic.12" shapeId="21001680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F12:R34"/>
  <sheetViews>
    <sheetView zoomScalePageLayoutView="0" workbookViewId="0" topLeftCell="A1">
      <selection activeCell="R20" sqref="R20:R27"/>
    </sheetView>
  </sheetViews>
  <sheetFormatPr defaultColWidth="9.140625" defaultRowHeight="12.75"/>
  <sheetData>
    <row r="12" spans="6:15" ht="12.75">
      <c r="F12">
        <v>0.69</v>
      </c>
      <c r="G12">
        <v>1.3</v>
      </c>
      <c r="H12">
        <v>2</v>
      </c>
      <c r="I12">
        <f>F12*G12*H12</f>
        <v>1.7939999999999998</v>
      </c>
      <c r="L12" s="52">
        <v>1.9</v>
      </c>
      <c r="M12" s="52">
        <v>1.23</v>
      </c>
      <c r="N12">
        <v>2</v>
      </c>
      <c r="O12">
        <f>L12*M12*N12</f>
        <v>4.6739999999999995</v>
      </c>
    </row>
    <row r="13" spans="6:15" ht="12.75">
      <c r="F13">
        <v>1.19</v>
      </c>
      <c r="G13">
        <v>1.3</v>
      </c>
      <c r="H13">
        <v>2</v>
      </c>
      <c r="I13">
        <f>F13*G13*H13</f>
        <v>3.094</v>
      </c>
      <c r="L13" s="52">
        <v>1.45</v>
      </c>
      <c r="M13">
        <f>M12</f>
        <v>1.23</v>
      </c>
      <c r="N13">
        <v>2</v>
      </c>
      <c r="O13">
        <f>L13*M13*N13</f>
        <v>3.5669999999999997</v>
      </c>
    </row>
    <row r="14" spans="6:15" ht="12.75">
      <c r="F14">
        <v>1.19</v>
      </c>
      <c r="G14">
        <v>0.69</v>
      </c>
      <c r="H14">
        <v>2</v>
      </c>
      <c r="I14">
        <f>F14*G14*H14</f>
        <v>1.6421999999999999</v>
      </c>
      <c r="L14">
        <f>L13</f>
        <v>1.45</v>
      </c>
      <c r="M14">
        <f>L12</f>
        <v>1.9</v>
      </c>
      <c r="N14">
        <v>2</v>
      </c>
      <c r="O14">
        <f>L14*M14*N14</f>
        <v>5.51</v>
      </c>
    </row>
    <row r="15" spans="9:15" ht="12.75">
      <c r="I15">
        <f>SUM(I12:I14)</f>
        <v>6.5302</v>
      </c>
      <c r="O15">
        <f>SUM(O12:O14)</f>
        <v>13.751</v>
      </c>
    </row>
    <row r="19" spans="6:9" ht="12.75">
      <c r="F19" s="52">
        <v>0.65</v>
      </c>
      <c r="G19" s="52">
        <v>1.36</v>
      </c>
      <c r="H19">
        <v>2</v>
      </c>
      <c r="I19">
        <f>F19*G19*H19</f>
        <v>1.7680000000000002</v>
      </c>
    </row>
    <row r="20" spans="6:18" ht="12.75">
      <c r="F20" s="52">
        <v>1.58</v>
      </c>
      <c r="G20">
        <f>G19</f>
        <v>1.36</v>
      </c>
      <c r="H20">
        <v>2</v>
      </c>
      <c r="I20">
        <f>F20*G20*H20</f>
        <v>4.2976</v>
      </c>
      <c r="R20" s="137">
        <v>0.0467</v>
      </c>
    </row>
    <row r="21" spans="6:18" ht="12.75">
      <c r="F21">
        <f>F20</f>
        <v>1.58</v>
      </c>
      <c r="G21">
        <f>F19</f>
        <v>0.65</v>
      </c>
      <c r="H21">
        <v>2</v>
      </c>
      <c r="I21">
        <f>F21*G21*H21</f>
        <v>2.0540000000000003</v>
      </c>
      <c r="R21" s="137">
        <v>0.0074</v>
      </c>
    </row>
    <row r="22" spans="9:18" ht="12.75">
      <c r="I22">
        <f>SUM(I19:I21)</f>
        <v>8.1196</v>
      </c>
      <c r="R22" s="137">
        <v>0.0097</v>
      </c>
    </row>
    <row r="23" ht="12.75">
      <c r="R23" s="137">
        <v>0.0121</v>
      </c>
    </row>
    <row r="24" ht="12.75">
      <c r="R24" s="137">
        <v>0.0771</v>
      </c>
    </row>
    <row r="25" spans="6:18" ht="12.75">
      <c r="F25" s="52">
        <v>2.26</v>
      </c>
      <c r="G25" s="52">
        <v>0.1</v>
      </c>
      <c r="H25">
        <v>2</v>
      </c>
      <c r="I25">
        <f>F25*G25*H25</f>
        <v>0.45199999999999996</v>
      </c>
      <c r="R25" s="137">
        <v>0.0365</v>
      </c>
    </row>
    <row r="26" spans="6:18" ht="12.75">
      <c r="F26" s="52">
        <v>4.2</v>
      </c>
      <c r="G26">
        <f>G25</f>
        <v>0.1</v>
      </c>
      <c r="H26">
        <v>2</v>
      </c>
      <c r="I26">
        <f>F26*G26*H26</f>
        <v>0.8400000000000001</v>
      </c>
      <c r="R26" s="137">
        <v>0.03</v>
      </c>
    </row>
    <row r="27" spans="6:18" ht="12.75">
      <c r="F27">
        <f>F26</f>
        <v>4.2</v>
      </c>
      <c r="G27">
        <f>F25</f>
        <v>2.26</v>
      </c>
      <c r="H27">
        <v>2</v>
      </c>
      <c r="I27">
        <f>F27*G27*H27</f>
        <v>18.983999999999998</v>
      </c>
      <c r="R27" s="137">
        <f ca="1">IF(BDI.Opcao&lt;&gt;"Desonerado",0,IF(AND($J16&lt;&gt;$A$145,COUNTA(OFFSET(R19,1,0,6))&gt;0),4.5%,0%))</f>
        <v>0</v>
      </c>
    </row>
    <row r="28" ht="12.75">
      <c r="I28">
        <f>SUM(I25:I27)</f>
        <v>20.276</v>
      </c>
    </row>
    <row r="31" spans="6:9" ht="12.75">
      <c r="F31" s="52">
        <v>1.9</v>
      </c>
      <c r="G31" s="52">
        <v>1.23</v>
      </c>
      <c r="H31">
        <v>2</v>
      </c>
      <c r="I31">
        <f>F31*G31*H31</f>
        <v>4.6739999999999995</v>
      </c>
    </row>
    <row r="32" spans="6:9" ht="12.75">
      <c r="F32" s="52">
        <v>1.45</v>
      </c>
      <c r="G32">
        <f>G31</f>
        <v>1.23</v>
      </c>
      <c r="H32">
        <v>2</v>
      </c>
      <c r="I32">
        <f>F32*G32*H32</f>
        <v>3.5669999999999997</v>
      </c>
    </row>
    <row r="33" spans="6:9" ht="12.75">
      <c r="F33">
        <f>F32</f>
        <v>1.45</v>
      </c>
      <c r="G33">
        <f>F31</f>
        <v>1.9</v>
      </c>
      <c r="H33">
        <v>2</v>
      </c>
      <c r="I33">
        <f>F33*G33*H33</f>
        <v>5.51</v>
      </c>
    </row>
    <row r="34" ht="12.75">
      <c r="I34">
        <f>SUM(I31:I33)</f>
        <v>13.751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 Jose de Vargas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Pacifico Jose de Vargas</dc:creator>
  <cp:keywords/>
  <dc:description/>
  <cp:lastModifiedBy>PMC</cp:lastModifiedBy>
  <cp:lastPrinted>2023-06-19T15:11:03Z</cp:lastPrinted>
  <dcterms:created xsi:type="dcterms:W3CDTF">1999-08-11T20:05:42Z</dcterms:created>
  <dcterms:modified xsi:type="dcterms:W3CDTF">2023-07-31T16:02:55Z</dcterms:modified>
  <cp:category/>
  <cp:version/>
  <cp:contentType/>
  <cp:contentStatus/>
</cp:coreProperties>
</file>