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519\Desktop\CAÇAPAVA\Projeto\ENTREGA III\"/>
    </mc:Choice>
  </mc:AlternateContent>
  <xr:revisionPtr revIDLastSave="0" documentId="8_{2FD81393-F977-43B0-9F8F-50286975EF9A}" xr6:coauthVersionLast="47" xr6:coauthVersionMax="47" xr10:uidLastSave="{00000000-0000-0000-0000-000000000000}"/>
  <bookViews>
    <workbookView xWindow="-120" yWindow="-120" windowWidth="20730" windowHeight="11160" xr2:uid="{CFDEDA52-1A85-4186-9702-B7FF1D88C12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4" i="1" l="1"/>
  <c r="C154" i="1"/>
  <c r="A35" i="1"/>
  <c r="D136" i="1"/>
  <c r="D135" i="1"/>
  <c r="A21" i="1"/>
  <c r="E239" i="1" l="1"/>
  <c r="E238" i="1"/>
  <c r="E237" i="1"/>
  <c r="E236" i="1"/>
  <c r="F240" i="1"/>
  <c r="E228" i="1"/>
  <c r="E226" i="1"/>
  <c r="E227" i="1"/>
  <c r="E225" i="1"/>
  <c r="D53" i="1"/>
  <c r="E53" i="1" s="1"/>
  <c r="C55" i="1"/>
  <c r="D55" i="1"/>
  <c r="E55" i="1" s="1"/>
  <c r="C56" i="1"/>
  <c r="E61" i="1"/>
  <c r="D56" i="1" l="1"/>
  <c r="E56" i="1" s="1"/>
  <c r="E57" i="1" s="1"/>
  <c r="E21" i="1"/>
  <c r="F242" i="1"/>
  <c r="A7" i="1"/>
  <c r="E251" i="1"/>
  <c r="E250" i="1"/>
  <c r="E248" i="1"/>
  <c r="C247" i="1"/>
  <c r="F229" i="1"/>
  <c r="F231" i="1" s="1"/>
  <c r="C217" i="1"/>
  <c r="C216" i="1"/>
  <c r="C215" i="1"/>
  <c r="E215" i="1" s="1"/>
  <c r="E213" i="1"/>
  <c r="D216" i="1" s="1"/>
  <c r="E216" i="1" s="1"/>
  <c r="D217" i="1" s="1"/>
  <c r="D202" i="1"/>
  <c r="D200" i="1"/>
  <c r="D198" i="1"/>
  <c r="D196" i="1"/>
  <c r="D194" i="1"/>
  <c r="D203" i="1" s="1"/>
  <c r="E186" i="1"/>
  <c r="E184" i="1"/>
  <c r="E183" i="1"/>
  <c r="E178" i="1"/>
  <c r="C177" i="1"/>
  <c r="C172" i="1"/>
  <c r="D166" i="1"/>
  <c r="E166" i="1" s="1"/>
  <c r="E162" i="1"/>
  <c r="C159" i="1"/>
  <c r="C155" i="1"/>
  <c r="E150" i="1"/>
  <c r="E140" i="1"/>
  <c r="E138" i="1"/>
  <c r="D137" i="1"/>
  <c r="E137" i="1" s="1"/>
  <c r="E136" i="1"/>
  <c r="E135" i="1"/>
  <c r="D134" i="1"/>
  <c r="E134" i="1" s="1"/>
  <c r="D133" i="1"/>
  <c r="E133" i="1" s="1"/>
  <c r="D132" i="1"/>
  <c r="E132" i="1" s="1"/>
  <c r="D131" i="1"/>
  <c r="E131" i="1" s="1"/>
  <c r="E127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06" i="1"/>
  <c r="A99" i="1"/>
  <c r="A105" i="1" s="1"/>
  <c r="A98" i="1"/>
  <c r="A104" i="1" s="1"/>
  <c r="C94" i="1"/>
  <c r="C93" i="1"/>
  <c r="E87" i="1"/>
  <c r="D82" i="1"/>
  <c r="C82" i="1"/>
  <c r="C80" i="1"/>
  <c r="D78" i="1"/>
  <c r="D77" i="1"/>
  <c r="E73" i="1"/>
  <c r="E65" i="1"/>
  <c r="E49" i="1"/>
  <c r="E43" i="1"/>
  <c r="E35" i="1"/>
  <c r="E31" i="1"/>
  <c r="A31" i="1"/>
  <c r="E30" i="1"/>
  <c r="A30" i="1"/>
  <c r="E29" i="1"/>
  <c r="A29" i="1"/>
  <c r="E28" i="1"/>
  <c r="A28" i="1"/>
  <c r="A23" i="1"/>
  <c r="A22" i="1"/>
  <c r="E20" i="1"/>
  <c r="A20" i="1"/>
  <c r="A19" i="1"/>
  <c r="A18" i="1"/>
  <c r="A17" i="1"/>
  <c r="A16" i="1"/>
  <c r="A13" i="1"/>
  <c r="A12" i="1"/>
  <c r="A11" i="1"/>
  <c r="A10" i="1"/>
  <c r="A9" i="1"/>
  <c r="A8" i="1"/>
  <c r="A6" i="1"/>
  <c r="D58" i="1" l="1"/>
  <c r="E58" i="1" s="1"/>
  <c r="E59" i="1"/>
  <c r="D60" i="1" s="1"/>
  <c r="E60" i="1" s="1"/>
  <c r="F61" i="1" s="1"/>
  <c r="D139" i="1"/>
  <c r="E82" i="1"/>
  <c r="D126" i="1"/>
  <c r="F251" i="1"/>
  <c r="F253" i="1" s="1"/>
  <c r="E22" i="1" s="1"/>
  <c r="C126" i="1"/>
  <c r="E126" i="1" s="1"/>
  <c r="F127" i="1" s="1"/>
  <c r="C104" i="1"/>
  <c r="E104" i="1" s="1"/>
  <c r="C98" i="1"/>
  <c r="E98" i="1" s="1"/>
  <c r="E32" i="1"/>
  <c r="C139" i="1"/>
  <c r="E139" i="1" s="1"/>
  <c r="F140" i="1" s="1"/>
  <c r="C105" i="1"/>
  <c r="E105" i="1" s="1"/>
  <c r="C99" i="1"/>
  <c r="E99" i="1" s="1"/>
  <c r="D93" i="1"/>
  <c r="E93" i="1" s="1"/>
  <c r="D44" i="1"/>
  <c r="E44" i="1" s="1"/>
  <c r="E45" i="1" s="1"/>
  <c r="D94" i="1"/>
  <c r="E94" i="1" s="1"/>
  <c r="D68" i="1"/>
  <c r="E68" i="1" s="1"/>
  <c r="E69" i="1" s="1"/>
  <c r="D80" i="1"/>
  <c r="E80" i="1" s="1"/>
  <c r="E77" i="1"/>
  <c r="E83" i="1" s="1"/>
  <c r="D182" i="1"/>
  <c r="E182" i="1" s="1"/>
  <c r="D185" i="1" s="1"/>
  <c r="E185" i="1" s="1"/>
  <c r="F186" i="1" s="1"/>
  <c r="E16" i="1" s="1"/>
  <c r="C168" i="1"/>
  <c r="D153" i="1"/>
  <c r="E153" i="1" s="1"/>
  <c r="D154" i="1" s="1"/>
  <c r="E154" i="1" s="1"/>
  <c r="C171" i="1"/>
  <c r="E171" i="1" s="1"/>
  <c r="E155" i="1"/>
  <c r="C208" i="1"/>
  <c r="E208" i="1" s="1"/>
  <c r="F209" i="1" s="1"/>
  <c r="E18" i="1" s="1"/>
  <c r="C202" i="1"/>
  <c r="E202" i="1" s="1"/>
  <c r="C200" i="1"/>
  <c r="E200" i="1" s="1"/>
  <c r="C198" i="1"/>
  <c r="E198" i="1" s="1"/>
  <c r="C196" i="1"/>
  <c r="E196" i="1" s="1"/>
  <c r="E194" i="1"/>
  <c r="F204" i="1" s="1"/>
  <c r="E17" i="1" s="1"/>
  <c r="E217" i="1"/>
  <c r="F218" i="1" s="1"/>
  <c r="E19" i="1" s="1"/>
  <c r="C249" i="1"/>
  <c r="E249" i="1" s="1"/>
  <c r="E247" i="1"/>
  <c r="C173" i="1" l="1"/>
  <c r="D158" i="1"/>
  <c r="E158" i="1" s="1"/>
  <c r="D159" i="1" s="1"/>
  <c r="E159" i="1" s="1"/>
  <c r="E160" i="1" s="1"/>
  <c r="D161" i="1" s="1"/>
  <c r="E161" i="1" s="1"/>
  <c r="F162" i="1" s="1"/>
  <c r="C169" i="1"/>
  <c r="D170" i="1" s="1"/>
  <c r="E170" i="1" s="1"/>
  <c r="F95" i="1"/>
  <c r="E9" i="1" s="1"/>
  <c r="D84" i="1"/>
  <c r="E84" i="1" s="1"/>
  <c r="E85" i="1" s="1"/>
  <c r="D86" i="1" s="1"/>
  <c r="E86" i="1" s="1"/>
  <c r="F87" i="1" s="1"/>
  <c r="D70" i="1"/>
  <c r="E70" i="1" s="1"/>
  <c r="E71" i="1" s="1"/>
  <c r="D72" i="1" s="1"/>
  <c r="E72" i="1" s="1"/>
  <c r="F73" i="1" s="1"/>
  <c r="E8" i="1" s="1"/>
  <c r="D46" i="1"/>
  <c r="E46" i="1" s="1"/>
  <c r="E47" i="1" s="1"/>
  <c r="D48" i="1" s="1"/>
  <c r="E48" i="1" s="1"/>
  <c r="F49" i="1" s="1"/>
  <c r="F100" i="1"/>
  <c r="E10" i="1" s="1"/>
  <c r="F106" i="1"/>
  <c r="F142" i="1"/>
  <c r="E11" i="1" s="1"/>
  <c r="E7" i="1" l="1"/>
  <c r="F108" i="1"/>
  <c r="E14" i="1"/>
  <c r="C174" i="1"/>
  <c r="D175" i="1" s="1"/>
  <c r="E175" i="1" s="1"/>
  <c r="E176" i="1" s="1"/>
  <c r="D177" i="1" s="1"/>
  <c r="E177" i="1" s="1"/>
  <c r="F178" i="1" s="1"/>
  <c r="F220" i="1" s="1"/>
  <c r="F255" i="1" s="1"/>
  <c r="E15" i="1" l="1"/>
  <c r="E12" i="1"/>
  <c r="E13" i="1"/>
  <c r="E6" i="1" l="1"/>
  <c r="D260" i="1" l="1"/>
  <c r="E260" i="1" s="1"/>
  <c r="F261" i="1" s="1"/>
  <c r="F263" i="1" s="1"/>
  <c r="E23" i="1" l="1"/>
  <c r="F267" i="1"/>
  <c r="F269" i="1" s="1"/>
  <c r="E24" i="1" l="1"/>
  <c r="F21" i="1" s="1"/>
  <c r="F20" i="1"/>
  <c r="F22" i="1"/>
  <c r="F19" i="1"/>
  <c r="F17" i="1"/>
  <c r="F18" i="1"/>
  <c r="F16" i="1"/>
  <c r="F11" i="1"/>
  <c r="F10" i="1"/>
  <c r="F7" i="1"/>
  <c r="F8" i="1"/>
  <c r="F9" i="1"/>
  <c r="F14" i="1"/>
  <c r="F13" i="1"/>
  <c r="F12" i="1"/>
  <c r="F15" i="1"/>
  <c r="F6" i="1"/>
  <c r="F23" i="1"/>
  <c r="F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  <author/>
  </authors>
  <commentList>
    <comment ref="A4" authorId="0" shapeId="0" xr:uid="{29FC751C-EA7E-4CF8-8073-75C96B115F5E}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1" shapeId="0" xr:uid="{AE33645B-2722-4DDF-B488-44FEDE52959F}">
      <text>
        <r>
          <rPr>
            <sz val="10"/>
            <color rgb="FF000000"/>
            <rFont val="Arial"/>
            <family val="2"/>
          </rPr>
          <t xml:space="preserve">Informar o fator de utilização das equipes de coleta. 
Por exemplo:
Equipes com utilização integral = 100%
Equipes com utilização parcial = n° horas trabalhadas por semana /44 horas
</t>
        </r>
      </text>
    </comment>
    <comment ref="D43" authorId="1" shapeId="0" xr:uid="{5BC0C482-2255-4346-BAF7-0359381302F4}">
      <text>
        <r>
          <rPr>
            <sz val="10"/>
            <color rgb="FF000000"/>
            <rFont val="Arial"/>
            <family val="2"/>
          </rPr>
          <t>Informar o Piso da categoria fixado na Convenção Coletiva</t>
        </r>
      </text>
    </comment>
    <comment ref="C46" authorId="1" shapeId="0" xr:uid="{B283F8D9-6E86-4AEB-971F-D050500ACE5A}">
      <text>
        <r>
          <rPr>
            <sz val="10"/>
            <color rgb="FF000000"/>
            <rFont val="Arial"/>
            <family val="2"/>
          </rPr>
          <t xml:space="preserve">Preencher a planilha Encargos Sociais e CAGED </t>
        </r>
      </text>
    </comment>
    <comment ref="C48" authorId="1" shapeId="0" xr:uid="{976BC1A6-8033-473A-8979-2928E0A97B08}">
      <text>
        <r>
          <rPr>
            <sz val="10"/>
            <color rgb="FF000000"/>
            <rFont val="Arial"/>
            <family val="2"/>
          </rPr>
          <t>Informar a quantidade de trabalhadores na função</t>
        </r>
      </text>
    </comment>
    <comment ref="C54" authorId="1" shapeId="0" xr:uid="{E5797D95-E6AA-45CD-9220-7F5005D89647}">
      <text>
        <r>
          <rPr>
            <sz val="10"/>
            <color rgb="FF000000"/>
            <rFont val="Arial"/>
            <family val="2"/>
          </rPr>
          <t>Informar o número de horas noturnas trabalhadas no intervalo das 22:00h as 5:00h</t>
        </r>
      </text>
    </comment>
    <comment ref="C58" authorId="1" shapeId="0" xr:uid="{504D7ADF-7F79-4A9D-9829-26A171FAC7B1}">
      <text>
        <r>
          <rPr>
            <sz val="10"/>
            <color rgb="FF000000"/>
            <rFont val="Arial"/>
            <family val="2"/>
          </rPr>
          <t xml:space="preserve">Preencher a planilha Encargos Sociais e CAGED </t>
        </r>
      </text>
    </comment>
    <comment ref="C60" authorId="1" shapeId="0" xr:uid="{D5840A4F-BAAC-4D0D-80E5-54387AAD99A6}">
      <text>
        <r>
          <rPr>
            <sz val="10"/>
            <color rgb="FF000000"/>
            <rFont val="Arial"/>
            <family val="2"/>
          </rPr>
          <t>Informar a quantidade de trabalhadores na função</t>
        </r>
      </text>
    </comment>
    <comment ref="D65" authorId="1" shapeId="0" xr:uid="{0CA5DB64-E5E4-4EFF-A6E2-6E2929EAA2AA}">
      <text>
        <r>
          <rPr>
            <sz val="10"/>
            <color rgb="FF000000"/>
            <rFont val="Arial"/>
            <family val="2"/>
          </rPr>
          <t>Informar o Piso da categoria fixado na Convenção Coletiva</t>
        </r>
      </text>
    </comment>
    <comment ref="D66" authorId="1" shapeId="0" xr:uid="{DA0CCD1B-7C1D-4577-A62C-C7890C1BF3BE}">
      <text>
        <r>
          <rPr>
            <sz val="10"/>
            <color rgb="FF000000"/>
            <rFont val="Arial"/>
            <family val="2"/>
          </rPr>
          <t>Informar o valor do salário Mínimo Nacional</t>
        </r>
      </text>
    </comment>
    <comment ref="C67" authorId="1" shapeId="0" xr:uid="{5DFFEA11-03CA-4268-A322-84CFE93D11D8}">
      <text>
        <r>
          <rPr>
            <sz val="10"/>
            <color rgb="FF00000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68" authorId="1" shapeId="0" xr:uid="{FD326B12-502F-4C7B-BF6C-E3AA2F327BEB}">
      <text>
        <r>
          <rPr>
            <sz val="10"/>
            <color rgb="FF000000"/>
            <rFont val="Arial"/>
            <family val="2"/>
          </rPr>
          <t>Percentual estabelecido nas Normas de Segurança de Trabalho ou pelo laudo de responsável técnico devidamente habilitado</t>
        </r>
      </text>
    </comment>
    <comment ref="C70" authorId="1" shapeId="0" xr:uid="{7E4A9D7E-7668-4250-B6C5-09D139537098}">
      <text>
        <r>
          <rPr>
            <sz val="10"/>
            <color rgb="FF000000"/>
            <rFont val="Arial"/>
            <family val="2"/>
          </rPr>
          <t xml:space="preserve">Preencher a planilha Encargos Sociais e CAGED </t>
        </r>
      </text>
    </comment>
    <comment ref="C72" authorId="1" shapeId="0" xr:uid="{22E1F6A3-5102-4AA0-8718-FC192423FB2C}">
      <text>
        <r>
          <rPr>
            <sz val="10"/>
            <color rgb="FF000000"/>
            <rFont val="Arial"/>
            <family val="2"/>
          </rPr>
          <t>Informar a quantidade de trabalhadores na função</t>
        </r>
      </text>
    </comment>
    <comment ref="C79" authorId="1" shapeId="0" xr:uid="{DAF92578-A8C0-4BD7-837F-FD38E1A38C55}">
      <text>
        <r>
          <rPr>
            <sz val="10"/>
            <color rgb="FF000000"/>
            <rFont val="Arial"/>
            <family val="2"/>
          </rPr>
          <t>Informar o número de horas noturnas trabalhadas no intervalo das 22:00h as 5:00h</t>
        </r>
      </text>
    </comment>
    <comment ref="C81" authorId="1" shapeId="0" xr:uid="{3B3DE15F-84FB-4100-9E93-A892B4762E23}">
      <text>
        <r>
          <rPr>
            <sz val="10"/>
            <color rgb="FF00000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84" authorId="1" shapeId="0" xr:uid="{5E681B35-5498-4D49-A5AD-2035846FB202}">
      <text>
        <r>
          <rPr>
            <sz val="10"/>
            <color rgb="FF000000"/>
            <rFont val="Arial"/>
            <family val="2"/>
          </rPr>
          <t xml:space="preserve">Preencher a planilha Encargos Sociais e CAGED </t>
        </r>
      </text>
    </comment>
    <comment ref="C86" authorId="1" shapeId="0" xr:uid="{87A1A3F2-BE56-422E-938D-06762E03F4AA}">
      <text>
        <r>
          <rPr>
            <sz val="10"/>
            <color rgb="FF000000"/>
            <rFont val="Arial"/>
            <family val="2"/>
          </rPr>
          <t>Informar a quantidade de trabalhadores na função</t>
        </r>
      </text>
    </comment>
    <comment ref="D91" authorId="1" shapeId="0" xr:uid="{54C5B14B-E305-43A9-8D48-CFBF5107DDD7}">
      <text>
        <r>
          <rPr>
            <sz val="10"/>
            <color rgb="FF000000"/>
            <rFont val="Arial"/>
            <family val="2"/>
          </rPr>
          <t>Informar o valor unitário do VT no município</t>
        </r>
      </text>
    </comment>
    <comment ref="C92" authorId="1" shapeId="0" xr:uid="{3D90E5DE-C8C1-4301-8128-5CD360DAED01}">
      <text>
        <r>
          <rPr>
            <sz val="10"/>
            <color rgb="FF000000"/>
            <rFont val="Arial"/>
            <family val="2"/>
          </rPr>
          <t>Informar o número médio de dias trabalhados por mês</t>
        </r>
      </text>
    </comment>
    <comment ref="D93" authorId="1" shapeId="0" xr:uid="{21F17985-DD19-4727-A011-9D2FF92A5982}">
      <text>
        <r>
          <rPr>
            <sz val="10"/>
            <color rgb="FF000000"/>
            <rFont val="Arial"/>
            <family val="2"/>
          </rPr>
          <t>Valor Unitário considerando o desconto legal de até 6% do salário</t>
        </r>
      </text>
    </comment>
    <comment ref="D94" authorId="1" shapeId="0" xr:uid="{DD98181F-DB7A-4065-96BE-9237B3DE1367}">
      <text>
        <r>
          <rPr>
            <sz val="10"/>
            <color rgb="FF000000"/>
            <rFont val="Arial"/>
            <family val="2"/>
          </rPr>
          <t xml:space="preserve">Valor Unitário considerando o desconto legal de até 6% do salário
</t>
        </r>
      </text>
    </comment>
    <comment ref="D98" authorId="1" shapeId="0" xr:uid="{EE070A8F-F511-4C25-BFD4-441200CAF819}">
      <text>
        <r>
          <rPr>
            <sz val="10"/>
            <color rgb="FF000000"/>
            <rFont val="Arial"/>
            <family val="2"/>
          </rPr>
          <t>Informar o valor unitário diário do vale refeição conforme Convenção Coletiva da categoria</t>
        </r>
      </text>
    </comment>
    <comment ref="D99" authorId="1" shapeId="0" xr:uid="{9D09BC73-BB4D-4B3C-B74D-2B68F88ACA26}">
      <text>
        <r>
          <rPr>
            <sz val="10"/>
            <color rgb="FF000000"/>
            <rFont val="Arial"/>
            <family val="2"/>
          </rPr>
          <t>Informar o valor unitário diário do vale refeição conforme Convenção Coletiva da categoria</t>
        </r>
      </text>
    </comment>
    <comment ref="D104" authorId="1" shapeId="0" xr:uid="{00F11E94-2646-4B38-8A9B-0A1C2E38807D}">
      <text>
        <r>
          <rPr>
            <sz val="10"/>
            <color rgb="FF000000"/>
            <rFont val="Arial"/>
            <family val="2"/>
          </rPr>
          <t>Informar o valor mensal do auxilio alimentação conforme Convenção Coletiva da categoria</t>
        </r>
      </text>
    </comment>
    <comment ref="D105" authorId="1" shapeId="0" xr:uid="{8B2679B1-98D4-4719-AE52-D8EB0ACBFFD3}">
      <text>
        <r>
          <rPr>
            <sz val="10"/>
            <color rgb="FF000000"/>
            <rFont val="Arial"/>
            <family val="2"/>
          </rPr>
          <t>Informar o valor mensal do auxilio alimentação conforme Convenção Coletiva da categoria</t>
        </r>
      </text>
    </comment>
    <comment ref="C114" authorId="1" shapeId="0" xr:uid="{A0A9C737-5492-459B-96DC-883E75D8E90F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14" authorId="1" shapeId="0" xr:uid="{9101810F-B636-423D-8B62-A99259A77B67}">
      <text>
        <r>
          <rPr>
            <sz val="10"/>
            <color rgb="FF000000"/>
            <rFont val="Arial"/>
            <family val="2"/>
          </rPr>
          <t>Informar o valor unitário estimado para aquisição de cada EPI</t>
        </r>
      </text>
    </comment>
    <comment ref="C115" authorId="1" shapeId="0" xr:uid="{38C9D49E-83DD-42C7-AD56-38560EE49E7C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15" authorId="1" shapeId="0" xr:uid="{598C3249-DF22-4FEB-A03E-74C3DD48BD1F}">
      <text>
        <r>
          <rPr>
            <sz val="10"/>
            <color rgb="FF000000"/>
            <rFont val="Arial"/>
            <family val="2"/>
          </rPr>
          <t>Informar o valor unitário estimado para aquisição de cada EPI</t>
        </r>
      </text>
    </comment>
    <comment ref="C116" authorId="1" shapeId="0" xr:uid="{AF1AA9AE-8DA8-49C0-BD3E-693B596A0478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16" authorId="1" shapeId="0" xr:uid="{2EBD38A5-46E3-44F4-B227-6B42600D5B29}">
      <text>
        <r>
          <rPr>
            <sz val="10"/>
            <color rgb="FF000000"/>
            <rFont val="Arial"/>
            <family val="2"/>
          </rPr>
          <t>Informar o valor unitário estimado para aquisição de cada EPI</t>
        </r>
      </text>
    </comment>
    <comment ref="C117" authorId="1" shapeId="0" xr:uid="{03E2C03E-396D-4E47-AF05-3BB32CF53631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17" authorId="1" shapeId="0" xr:uid="{38BB8A59-9145-44E4-BBF2-E70FDBE7021F}">
      <text>
        <r>
          <rPr>
            <sz val="10"/>
            <color rgb="FF000000"/>
            <rFont val="Arial"/>
            <family val="2"/>
          </rPr>
          <t>Informar o valor unitário estimado para aquisição de cada EPI</t>
        </r>
      </text>
    </comment>
    <comment ref="C118" authorId="1" shapeId="0" xr:uid="{D214BFAE-7FB9-4E9F-9E94-F36CE0C511B4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18" authorId="1" shapeId="0" xr:uid="{53CF7D5C-F1E2-4F28-8CFC-EACF47053647}">
      <text>
        <r>
          <rPr>
            <sz val="10"/>
            <color rgb="FF000000"/>
            <rFont val="Arial"/>
            <family val="2"/>
          </rPr>
          <t>Informar o valor unitário estimado para aquisição de cada EPI</t>
        </r>
      </text>
    </comment>
    <comment ref="C119" authorId="1" shapeId="0" xr:uid="{ECA5602E-6A32-4B3E-A04E-A5C8B8007DBF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19" authorId="1" shapeId="0" xr:uid="{71417CB6-8966-4F3E-9684-FA44006F129A}">
      <text>
        <r>
          <rPr>
            <sz val="10"/>
            <color rgb="FF000000"/>
            <rFont val="Arial"/>
            <family val="2"/>
          </rPr>
          <t>Informar o valor unitário estimado para aquisição de cada EPI</t>
        </r>
      </text>
    </comment>
    <comment ref="C120" authorId="1" shapeId="0" xr:uid="{CC7899DD-2317-4B32-8525-841BB29413CD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20" authorId="1" shapeId="0" xr:uid="{F06286A9-30F8-42CB-AD7A-4CAD345EF0BD}">
      <text>
        <r>
          <rPr>
            <sz val="10"/>
            <color rgb="FF000000"/>
            <rFont val="Arial"/>
            <family val="2"/>
          </rPr>
          <t>Informar o valor unitário estimado para aquisição de cada EPI</t>
        </r>
      </text>
    </comment>
    <comment ref="C121" authorId="1" shapeId="0" xr:uid="{BC26D02C-900B-4367-A537-7AC5B7C25EEA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21" authorId="1" shapeId="0" xr:uid="{A3677417-FC7A-4DBE-80DD-15A4B82D7B83}">
      <text>
        <r>
          <rPr>
            <sz val="10"/>
            <color rgb="FF000000"/>
            <rFont val="Arial"/>
            <family val="2"/>
          </rPr>
          <t>Informar o valor unitário estimado para aquisição de cada EPI</t>
        </r>
      </text>
    </comment>
    <comment ref="C122" authorId="1" shapeId="0" xr:uid="{F7E40BE3-F111-4E84-A838-4213A21EDAE6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22" authorId="1" shapeId="0" xr:uid="{87B70AFD-4C0C-40BA-8825-39A24CBAAFD3}">
      <text>
        <r>
          <rPr>
            <sz val="10"/>
            <color rgb="FF000000"/>
            <rFont val="Arial"/>
            <family val="2"/>
          </rPr>
          <t>Informar o valor unitário estimado para aquisição de cada EPI</t>
        </r>
      </text>
    </comment>
    <comment ref="C123" authorId="1" shapeId="0" xr:uid="{28D374E1-B096-4FBD-8D66-BA674084D9FD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23" authorId="1" shapeId="0" xr:uid="{3661911E-DE43-4382-A2E6-6DE674127AED}">
      <text>
        <r>
          <rPr>
            <sz val="10"/>
            <color rgb="FF000000"/>
            <rFont val="Arial"/>
            <family val="2"/>
          </rPr>
          <t>Informar o valor unitário estimado para aquisição de cada EPI</t>
        </r>
      </text>
    </comment>
    <comment ref="D125" authorId="1" shapeId="0" xr:uid="{38411F76-F3A1-41D0-8047-FFBE97591B0D}">
      <text>
        <r>
          <rPr>
            <sz val="10"/>
            <color rgb="FF000000"/>
            <rFont val="Arial"/>
            <family val="2"/>
          </rPr>
          <t>Informar o valor mensal de higienização de uniforme para 1 funcionário</t>
        </r>
      </text>
    </comment>
    <comment ref="C131" authorId="1" shapeId="0" xr:uid="{24E49D1D-09A6-4809-B028-71C5785827D6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C132" authorId="1" shapeId="0" xr:uid="{AFB06080-98BC-47C2-84C1-24697F58BB63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C133" authorId="1" shapeId="0" xr:uid="{0FE2C44E-9C60-4BC3-86C4-AA2F12F650FA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C134" authorId="1" shapeId="0" xr:uid="{868AD5F7-720B-4BB2-A7AD-D6C34FA9CEAC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C135" authorId="1" shapeId="0" xr:uid="{F1A6E6D5-3283-487A-A928-4CF96DEF73EB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C137" authorId="1" shapeId="0" xr:uid="{EF87AE9A-FDF2-43B2-B313-7775DCF2ADA7}">
      <text>
        <r>
          <rPr>
            <sz val="10"/>
            <color rgb="FF000000"/>
            <rFont val="Arial"/>
            <family val="2"/>
          </rPr>
          <t xml:space="preserve">Informar a durabilidade estimada em meses, para cada EPI
</t>
        </r>
      </text>
    </comment>
    <comment ref="D138" authorId="1" shapeId="0" xr:uid="{BAAEC76E-6966-48CF-A4E0-D6464173F7CB}">
      <text>
        <r>
          <rPr>
            <sz val="10"/>
            <color rgb="FF000000"/>
            <rFont val="Arial"/>
            <family val="2"/>
          </rPr>
          <t>Informar o valor mensal de higienização de uniforme para 1 funcionário</t>
        </r>
      </text>
    </comment>
    <comment ref="D150" authorId="1" shapeId="0" xr:uid="{6BEF1A3C-A2C9-4437-9E4E-7BF59B151B9E}">
      <text>
        <r>
          <rPr>
            <sz val="10"/>
            <color rgb="FF000000"/>
            <rFont val="Arial"/>
            <family val="2"/>
          </rPr>
          <t>Informar o preço unitário do chassis do caminhão de coleta</t>
        </r>
      </text>
    </comment>
    <comment ref="C151" authorId="1" shapeId="0" xr:uid="{2CED0B1E-21D7-421D-96F5-BA83CB720451}">
      <text>
        <r>
          <rPr>
            <sz val="10"/>
            <color rgb="FF000000"/>
            <rFont val="Arial"/>
            <family val="2"/>
          </rPr>
          <t>Informar a vida útil estimada para o caminhão, em anos</t>
        </r>
      </text>
    </comment>
    <comment ref="C152" authorId="1" shapeId="0" xr:uid="{2A8DE1CD-C539-4B1A-AB2E-EE7661CE54D2}">
      <text>
        <r>
          <rPr>
            <sz val="10"/>
            <color rgb="FF000000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D155" authorId="1" shapeId="0" xr:uid="{B09B05BC-ED95-4566-B9BB-1074BE33D9B1}">
      <text>
        <r>
          <rPr>
            <sz val="10"/>
            <color rgb="FF000000"/>
            <rFont val="Arial"/>
            <family val="2"/>
          </rPr>
          <t xml:space="preserve">Informar o preço unitário do equipamento compactador
</t>
        </r>
      </text>
    </comment>
    <comment ref="C156" authorId="1" shapeId="0" xr:uid="{8C711F2F-A4E3-4A28-9FCD-64880B7061F7}">
      <text>
        <r>
          <rPr>
            <sz val="10"/>
            <color rgb="FF000000"/>
            <rFont val="Arial"/>
            <family val="2"/>
          </rPr>
          <t>Informar a vida útil estimada para o compactador, em anos</t>
        </r>
      </text>
    </comment>
    <comment ref="C157" authorId="1" shapeId="0" xr:uid="{23110103-EF53-40D1-AE5D-B439A1060FD6}">
      <text>
        <r>
          <rPr>
            <sz val="10"/>
            <color rgb="FF000000"/>
            <rFont val="Arial"/>
            <family val="2"/>
          </rPr>
          <t>Na elaboração do orçamento-base da licitação, informar 0 (zero). Na proposta da licitante, informar a idade do compactador proposto.</t>
        </r>
      </text>
    </comment>
    <comment ref="C161" authorId="1" shapeId="0" xr:uid="{A739C230-93E5-493A-B0F8-4C184ACF8CDB}">
      <text>
        <r>
          <rPr>
            <sz val="10"/>
            <color rgb="FF000000"/>
            <rFont val="Arial"/>
            <family val="2"/>
          </rPr>
          <t>Informar a quantidade de caminhões compactadores do respectivo modelo</t>
        </r>
      </text>
    </comment>
    <comment ref="C167" authorId="1" shapeId="0" xr:uid="{9B68F0A7-9644-4047-A909-B7ABD333E775}">
      <text>
        <r>
          <rPr>
            <sz val="10"/>
            <color rgb="FF000000"/>
            <rFont val="Arial"/>
            <family val="2"/>
          </rPr>
          <t xml:space="preserve">Informar a taxa de juros anual para remuneração do capital. Recomenda-se o uso da Taxa SELIC
</t>
        </r>
      </text>
    </comment>
    <comment ref="D183" authorId="1" shapeId="0" xr:uid="{72A43952-A8DF-4A07-9AA5-828D0878B1C4}">
      <text>
        <r>
          <rPr>
            <sz val="10"/>
            <color rgb="FF000000"/>
            <rFont val="Arial"/>
            <family val="2"/>
          </rPr>
          <t xml:space="preserve">Informar o valor do seguro obrigatório e licenciamento anual de um caminhão
</t>
        </r>
      </text>
    </comment>
    <comment ref="D184" authorId="1" shapeId="0" xr:uid="{952CB5FB-4F70-43D4-8A84-CF9E81C28D5F}">
      <text>
        <r>
          <rPr>
            <sz val="10"/>
            <color rgb="FF000000"/>
            <rFont val="Arial"/>
            <family val="2"/>
          </rPr>
          <t xml:space="preserve">Informar o valor do seguro contra terceiros de um caminhão, se houver
</t>
        </r>
      </text>
    </comment>
    <comment ref="B190" authorId="1" shapeId="0" xr:uid="{23682BAA-E36B-4A47-B707-9DBFCEB7206B}">
      <text>
        <r>
          <rPr>
            <sz val="10"/>
            <color rgb="FF000000"/>
            <rFont val="Arial"/>
            <family val="2"/>
          </rPr>
          <t xml:space="preserve">Informar a quilometragem mensal percorrida, de acordo com o projeto básico
</t>
        </r>
      </text>
    </comment>
    <comment ref="C193" authorId="1" shapeId="0" xr:uid="{FD27A5A4-DEA7-4253-9C38-4737C707D05E}">
      <text>
        <r>
          <rPr>
            <sz val="10"/>
            <color rgb="FF000000"/>
            <rFont val="Arial"/>
            <family val="2"/>
          </rPr>
          <t>Informar o consumo estimado do veículo em km/l</t>
        </r>
      </text>
    </comment>
    <comment ref="D193" authorId="1" shapeId="0" xr:uid="{6E0CBE7C-D382-4C0D-ADF5-D2F982018E92}">
      <text>
        <r>
          <rPr>
            <sz val="10"/>
            <color rgb="FF000000"/>
            <rFont val="Arial"/>
            <family val="2"/>
          </rPr>
          <t xml:space="preserve">Informar o preço unitário do combustivel
</t>
        </r>
      </text>
    </comment>
    <comment ref="C195" authorId="1" shapeId="0" xr:uid="{0733FD5C-CF0F-4AF8-82CF-BF1136956915}">
      <text>
        <r>
          <rPr>
            <sz val="10"/>
            <color rgb="FF000000"/>
            <rFont val="Arial"/>
            <family val="2"/>
          </rPr>
          <t>Informar o consumo de óleo do motor a cada 1000km</t>
        </r>
      </text>
    </comment>
    <comment ref="D195" authorId="1" shapeId="0" xr:uid="{4891125F-3B33-4EDD-A45E-983DF3DB2815}">
      <text>
        <r>
          <rPr>
            <sz val="10"/>
            <color rgb="FF000000"/>
            <rFont val="Arial"/>
            <family val="2"/>
          </rPr>
          <t xml:space="preserve">Informar o preço unitário do litro do óleo do motor
</t>
        </r>
      </text>
    </comment>
    <comment ref="C197" authorId="1" shapeId="0" xr:uid="{C35AEC89-7AD5-435C-BC8A-E25B7AAD55C6}">
      <text>
        <r>
          <rPr>
            <sz val="10"/>
            <color rgb="FF000000"/>
            <rFont val="Arial"/>
            <family val="2"/>
          </rPr>
          <t>Informar o consumo de óleo da transmissão a cada 1000km</t>
        </r>
      </text>
    </comment>
    <comment ref="D197" authorId="1" shapeId="0" xr:uid="{2C6D5B6C-3BFA-4C39-A622-60494263B179}">
      <text>
        <r>
          <rPr>
            <sz val="10"/>
            <color rgb="FF000000"/>
            <rFont val="Arial"/>
            <family val="2"/>
          </rPr>
          <t xml:space="preserve">Informar o preço unitário do litro do óleo da transmissão
</t>
        </r>
      </text>
    </comment>
    <comment ref="C199" authorId="1" shapeId="0" xr:uid="{A32A1896-5BE2-4AD3-A4B2-0A16CC2A57CF}">
      <text>
        <r>
          <rPr>
            <sz val="10"/>
            <color rgb="FF000000"/>
            <rFont val="Arial"/>
            <family val="2"/>
          </rPr>
          <t>Informar o consumo de óleo hidráulico a cada 1000km</t>
        </r>
      </text>
    </comment>
    <comment ref="D199" authorId="1" shapeId="0" xr:uid="{09F51D84-4FDD-41BE-B2C2-F7FCE04E98E9}">
      <text>
        <r>
          <rPr>
            <sz val="10"/>
            <color rgb="FF000000"/>
            <rFont val="Arial"/>
            <family val="2"/>
          </rPr>
          <t xml:space="preserve">Informar o preço unitário do litro do óleo hidráulico
</t>
        </r>
      </text>
    </comment>
    <comment ref="C201" authorId="1" shapeId="0" xr:uid="{0923EFDA-C217-4026-94A3-0DD067E07AA4}">
      <text>
        <r>
          <rPr>
            <sz val="10"/>
            <color rgb="FF000000"/>
            <rFont val="Arial"/>
            <family val="2"/>
          </rPr>
          <t>Informar o consumo de graxa a cada 1000km</t>
        </r>
      </text>
    </comment>
    <comment ref="D201" authorId="1" shapeId="0" xr:uid="{ECB80CDE-1465-4487-8330-FE5CBB8016C8}">
      <text>
        <r>
          <rPr>
            <sz val="10"/>
            <color rgb="FF000000"/>
            <rFont val="Arial"/>
            <family val="2"/>
          </rPr>
          <t xml:space="preserve">Informar o preço unitário do litro da graxa
</t>
        </r>
      </text>
    </comment>
    <comment ref="D208" authorId="1" shapeId="0" xr:uid="{E28FDEEA-A523-4755-989C-2C4E05E8D3C4}">
      <text>
        <r>
          <rPr>
            <sz val="10"/>
            <color rgb="FF000000"/>
            <rFont val="Arial"/>
            <family val="2"/>
          </rPr>
          <t xml:space="preserve">Informar o custo de manutenção em R$/km rodado
</t>
        </r>
      </text>
    </comment>
    <comment ref="C213" authorId="1" shapeId="0" xr:uid="{F6F4ED7B-2F8F-42AB-9DEC-6F5B946CD302}">
      <text>
        <r>
          <rPr>
            <sz val="10"/>
            <color rgb="FF000000"/>
            <rFont val="Arial"/>
            <family val="2"/>
          </rPr>
          <t>Informar a quantidade de pneus novos de 1 caminhão</t>
        </r>
      </text>
    </comment>
    <comment ref="D213" authorId="1" shapeId="0" xr:uid="{97D8A55F-4746-4B8F-AAA4-6EE0E011919F}">
      <text>
        <r>
          <rPr>
            <sz val="10"/>
            <color rgb="FF000000"/>
            <rFont val="Arial"/>
            <family val="2"/>
          </rPr>
          <t xml:space="preserve">Informar o preço unitário de cada pneu
</t>
        </r>
      </text>
    </comment>
    <comment ref="C214" authorId="1" shapeId="0" xr:uid="{6ED0F3EA-AEBC-47B7-BECE-5F117B1E8605}">
      <text>
        <r>
          <rPr>
            <sz val="10"/>
            <color rgb="FF000000"/>
            <rFont val="Arial"/>
            <family val="2"/>
          </rPr>
          <t>Informar o número de recapagens por pneu</t>
        </r>
      </text>
    </comment>
    <comment ref="D215" authorId="1" shapeId="0" xr:uid="{8B6BADED-241A-4000-8F3E-04E65B8990A2}">
      <text>
        <r>
          <rPr>
            <sz val="10"/>
            <color rgb="FF000000"/>
            <rFont val="Arial"/>
            <family val="2"/>
          </rPr>
          <t xml:space="preserve">Informar o preço unitário de cada recapagem
</t>
        </r>
      </text>
    </comment>
    <comment ref="C216" authorId="1" shapeId="0" xr:uid="{A6DD949E-B0F2-4CD0-8952-C2085B43C17E}">
      <text>
        <r>
          <rPr>
            <sz val="10"/>
            <color rgb="FF000000"/>
            <rFont val="Arial"/>
            <family val="2"/>
          </rPr>
          <t xml:space="preserve">Informar a durabilidade média dos pneus considerando as recapagens, em km
</t>
        </r>
      </text>
    </comment>
    <comment ref="C225" authorId="1" shapeId="0" xr:uid="{865BAF8A-C13B-4CB0-81E6-258B55D984C7}">
      <text>
        <r>
          <rPr>
            <sz val="10"/>
            <color rgb="FF00000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25" authorId="1" shapeId="0" xr:uid="{029BB86F-6B92-4B13-BE54-3F209FCAC27D}">
      <text>
        <r>
          <rPr>
            <sz val="10"/>
            <color rgb="FF000000"/>
            <rFont val="Arial"/>
            <family val="2"/>
          </rPr>
          <t>Informar o valor unitário estimado para aquisição de cada material</t>
        </r>
      </text>
    </comment>
    <comment ref="C226" authorId="1" shapeId="0" xr:uid="{A8770B9E-F713-47B8-9786-B53FF33A3B03}">
      <text>
        <r>
          <rPr>
            <sz val="10"/>
            <color rgb="FF00000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26" authorId="1" shapeId="0" xr:uid="{BBFE2BF0-BCA8-43F9-BA19-EF8F7B89E506}">
      <text>
        <r>
          <rPr>
            <sz val="10"/>
            <color rgb="FF000000"/>
            <rFont val="Arial"/>
            <family val="2"/>
          </rPr>
          <t>Informar o valor unitário estimado para aquisição de cada material</t>
        </r>
      </text>
    </comment>
    <comment ref="C227" authorId="1" shapeId="0" xr:uid="{A6D40508-F299-4597-8693-48FBA685EE7C}">
      <text>
        <r>
          <rPr>
            <sz val="10"/>
            <color rgb="FF00000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27" authorId="1" shapeId="0" xr:uid="{1B779C54-E674-41A4-AA30-37AC60718B74}">
      <text>
        <r>
          <rPr>
            <sz val="10"/>
            <color rgb="FF000000"/>
            <rFont val="Arial"/>
            <family val="2"/>
          </rPr>
          <t>Informar o valor unitário estimado para aquisição de cada material</t>
        </r>
      </text>
    </comment>
    <comment ref="C228" authorId="1" shapeId="0" xr:uid="{44374489-0D54-433F-B021-9AA787583156}">
      <text>
        <r>
          <rPr>
            <sz val="10"/>
            <color rgb="FF00000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28" authorId="1" shapeId="0" xr:uid="{684A22AE-FE54-4704-A09D-719E87F1ED0A}">
      <text>
        <r>
          <rPr>
            <sz val="10"/>
            <color rgb="FF000000"/>
            <rFont val="Arial"/>
            <family val="2"/>
          </rPr>
          <t>Informar o valor unitário estimado para aquisição de cada material</t>
        </r>
      </text>
    </comment>
    <comment ref="A244" authorId="1" shapeId="0" xr:uid="{8453D7ED-C176-4B22-AF39-26E08F099EE3}">
      <text>
        <r>
          <rPr>
            <sz val="10"/>
            <color rgb="FF000000"/>
            <rFont val="Arial"/>
            <family val="2"/>
          </rPr>
          <t xml:space="preserve">Especificar somente quando for exigido no Projeto Básico
</t>
        </r>
      </text>
    </comment>
    <comment ref="D247" authorId="1" shapeId="0" xr:uid="{62AD5263-5FA6-43B0-9D0D-CDE9BF470770}">
      <text>
        <r>
          <rPr>
            <sz val="10"/>
            <color rgb="FF000000"/>
            <rFont val="Arial"/>
            <family val="2"/>
          </rPr>
          <t>Informar o valor total para instalação do equipamento de monitoramento da frota, se houver</t>
        </r>
      </text>
    </comment>
    <comment ref="D249" authorId="1" shapeId="0" xr:uid="{162C287D-0C2A-44B2-9894-7F1465420DEE}">
      <text>
        <r>
          <rPr>
            <sz val="10"/>
            <color rgb="FF000000"/>
            <rFont val="Arial"/>
            <family val="2"/>
          </rPr>
          <t>Informar o valor unitário mensal para manutenção dos equipamentos de monitoramento</t>
        </r>
      </text>
    </comment>
    <comment ref="C260" authorId="1" shapeId="0" xr:uid="{B96A2ED2-3067-44D1-8C99-F2B34F7D08B9}">
      <text>
        <r>
          <rPr>
            <sz val="10"/>
            <color rgb="FF000000"/>
            <rFont val="Arial"/>
            <family val="2"/>
          </rPr>
          <t>Preencher a aba 4.BDI</t>
        </r>
      </text>
    </comment>
  </commentList>
</comments>
</file>

<file path=xl/sharedStrings.xml><?xml version="1.0" encoding="utf-8"?>
<sst xmlns="http://schemas.openxmlformats.org/spreadsheetml/2006/main" count="409" uniqueCount="169">
  <si>
    <t>Planilha de Composição de Custos</t>
  </si>
  <si>
    <t>Orçamento Sintético</t>
  </si>
  <si>
    <t>Descrição do Item</t>
  </si>
  <si>
    <t>Custo (R$/mês)</t>
  </si>
  <si>
    <t>%</t>
  </si>
  <si>
    <t>3.1.1. Depreciação</t>
  </si>
  <si>
    <t>3.1.2. Remuneração do Capital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</si>
  <si>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</si>
  <si>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</si>
  <si>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</si>
  <si>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</si>
  <si>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</si>
  <si>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</si>
  <si>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</si>
  <si>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</si>
  <si>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Discriminação</t>
  </si>
  <si>
    <t>Unidade</t>
  </si>
  <si>
    <t>Custo unitário</t>
  </si>
  <si>
    <t>Subtotal</t>
  </si>
  <si>
    <r>
      <rPr>
        <b/>
        <sz val="9"/>
        <rFont val="Arial"/>
        <family val="2"/>
      </rPr>
      <t xml:space="preserve">Total </t>
    </r>
    <r>
      <rPr>
        <b/>
        <u/>
        <sz val="9"/>
        <rFont val="Arial"/>
        <family val="2"/>
      </rPr>
      <t>(R$)</t>
    </r>
  </si>
  <si>
    <t>Piso da categoria</t>
  </si>
  <si>
    <t>mês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</si>
  <si>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</si>
  <si>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</si>
  <si>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</si>
  <si>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</si>
  <si>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</si>
  <si>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</si>
  <si>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</si>
  <si>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</si>
  <si>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t>Adicional Noturno</t>
  </si>
  <si>
    <t>horas trabalhadas</t>
  </si>
  <si>
    <t>hora contabilizada</t>
  </si>
  <si>
    <t>Piso da categoria (1)</t>
  </si>
  <si>
    <t>Salário mínimo nacional (2)</t>
  </si>
  <si>
    <t>Base de cálculo da Insalubridade</t>
  </si>
  <si>
    <t>Total por Motorista</t>
  </si>
  <si>
    <t>1.4. Motorista Turno Noite</t>
  </si>
  <si>
    <t>Salário mínimo nacional</t>
  </si>
  <si>
    <t>Vale Transporte</t>
  </si>
  <si>
    <t>R$</t>
  </si>
  <si>
    <t>Dias Trabalhados por mês</t>
  </si>
  <si>
    <t>dia</t>
  </si>
  <si>
    <t>Coletor</t>
  </si>
  <si>
    <t>vale</t>
  </si>
  <si>
    <t>Motorista</t>
  </si>
  <si>
    <t>unidade</t>
  </si>
  <si>
    <t>1.7. Auxílio Alimentação (mensal)</t>
  </si>
  <si>
    <t>Custo Mensal com Mão-de-obra (R$/mês)</t>
  </si>
  <si>
    <t>2. Uniformes e Equipamentos de Proteção Individual</t>
  </si>
  <si>
    <t>2.1. Uniformes e EPIs para Coletor</t>
  </si>
  <si>
    <t>Durabilidade (meses)</t>
  </si>
  <si>
    <t>Jaqueta com reflexivo (NBR 15.292)</t>
  </si>
  <si>
    <t>Calça</t>
  </si>
  <si>
    <t>Camiseta</t>
  </si>
  <si>
    <t>Boné</t>
  </si>
  <si>
    <t>Botina de segurança c/ ponteira de aço</t>
  </si>
  <si>
    <t>par</t>
  </si>
  <si>
    <t>Meia de algodão com cano alto</t>
  </si>
  <si>
    <t>Capa de chuva amarela com reflexivo</t>
  </si>
  <si>
    <t>Colete reflexivo</t>
  </si>
  <si>
    <t>Luva de proteção</t>
  </si>
  <si>
    <t>Protetor solar FPS 30</t>
  </si>
  <si>
    <t>frasco 120g</t>
  </si>
  <si>
    <t>Bermuda</t>
  </si>
  <si>
    <t>Higienização de uniformes e EPIs</t>
  </si>
  <si>
    <t>R$ mensal</t>
  </si>
  <si>
    <t>Botina de segurança c/ ponteria de aço</t>
  </si>
  <si>
    <t>Colete refletivo</t>
  </si>
  <si>
    <t>Custo Mensal com Uniformes e EPIs (R$/mês)</t>
  </si>
  <si>
    <t>3. Veículos e Equipamentos</t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</si>
  <si>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</si>
  <si>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</si>
  <si>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</si>
  <si>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</si>
  <si>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</si>
  <si>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</si>
  <si>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</si>
  <si>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</si>
  <si>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</si>
  <si>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</si>
  <si>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</si>
  <si>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Total por veículo</t>
  </si>
  <si>
    <t>Total da frota</t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</si>
  <si>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</si>
  <si>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</si>
  <si>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</si>
  <si>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</si>
  <si>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</si>
  <si>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</si>
  <si>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</si>
  <si>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</si>
  <si>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</si>
  <si>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t>3.1.3. Impostos e Seguros</t>
  </si>
  <si>
    <t>IPVA</t>
  </si>
  <si>
    <t>Licenciamento e Seguro obrigatório</t>
  </si>
  <si>
    <t>Seguro contra terceiros</t>
  </si>
  <si>
    <t>Impostos e seguros mensais</t>
  </si>
  <si>
    <t>3.1.4. Consumos</t>
  </si>
  <si>
    <t>Quilometragem mensal</t>
  </si>
  <si>
    <t>Consumo</t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</si>
  <si>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</si>
  <si>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</si>
  <si>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</si>
  <si>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</si>
  <si>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</si>
  <si>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</si>
  <si>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</si>
  <si>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</si>
  <si>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</si>
  <si>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</si>
  <si>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</si>
  <si>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</si>
  <si>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</si>
  <si>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 xml:space="preserve"> </t>
  </si>
  <si>
    <t>Custo mensal com graxa</t>
  </si>
  <si>
    <t>Custo com consumos/km rodado</t>
  </si>
  <si>
    <t>R$/km rodado</t>
  </si>
  <si>
    <t>Custo de manutenção dos caminhões</t>
  </si>
  <si>
    <t>3.1.6. Pneus</t>
  </si>
  <si>
    <t>Custo do jogo de pneus 275/80 R 22,5</t>
  </si>
  <si>
    <t>Número de recapagens por pneu</t>
  </si>
  <si>
    <t>Custo de recapagem</t>
  </si>
  <si>
    <t>Custo jg. compl. + 2 recap./ km rodado</t>
  </si>
  <si>
    <t>km/jogo</t>
  </si>
  <si>
    <t>Custo mensal com pneus</t>
  </si>
  <si>
    <t>Custo Mensal com Veículos e Equipamentos (R$/mês)</t>
  </si>
  <si>
    <t>4. Ferramentas e Materiais de Consumo</t>
  </si>
  <si>
    <t>Recipiente térmico para água (5L)</t>
  </si>
  <si>
    <t>Pá de Concha</t>
  </si>
  <si>
    <t>Vassoura</t>
  </si>
  <si>
    <t>Publicidade (adesivos equipamentos)</t>
  </si>
  <si>
    <t>cj</t>
  </si>
  <si>
    <t>Custo Mensal com Ferramentas e Materiais de Consumo (R$/mês)</t>
  </si>
  <si>
    <t>Implantação dos equipamentos de monitoramento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</si>
  <si>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</si>
  <si>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</si>
  <si>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</si>
  <si>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</si>
  <si>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</si>
  <si>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Benefícios e despesas indiretas</t>
  </si>
  <si>
    <t>CUSTO MENSAL COM BDI (R$/mês)</t>
  </si>
  <si>
    <t>PREÇO MENSAL TOTAL (R$/mês)</t>
  </si>
  <si>
    <t>1.1. Coletor Turno Dia</t>
  </si>
  <si>
    <t>1.3. Motorista Turno do Dia</t>
  </si>
  <si>
    <t>1.5. Vale Transporte</t>
  </si>
  <si>
    <t>1.6. Vale-refeição (diário)</t>
  </si>
  <si>
    <t>1. Coleta de Resíduos Sólidos - ORGÂNICOS</t>
  </si>
  <si>
    <t>3.1.5. Manutenção</t>
  </si>
  <si>
    <r>
      <t xml:space="preserve">Total </t>
    </r>
    <r>
      <rPr>
        <b/>
        <u/>
        <sz val="9"/>
        <rFont val="Arial"/>
        <family val="2"/>
      </rPr>
      <t>(R$)</t>
    </r>
  </si>
  <si>
    <r>
      <t xml:space="preserve">Total </t>
    </r>
    <r>
      <rPr>
        <b/>
        <u/>
        <sz val="9"/>
        <color theme="1"/>
        <rFont val="Arial"/>
        <family val="2"/>
      </rPr>
      <t>(R$)</t>
    </r>
  </si>
  <si>
    <t>5. Administração Local</t>
  </si>
  <si>
    <t>Aluguel do prédio</t>
  </si>
  <si>
    <t>Energia elétrica</t>
  </si>
  <si>
    <t>água</t>
  </si>
  <si>
    <t>Telefone e internet</t>
  </si>
  <si>
    <t>Custo total com Administração Local</t>
  </si>
  <si>
    <t>6. Monitoramento da Frota</t>
  </si>
  <si>
    <t>7. Benefícios e Despesas Indiretas - BDI</t>
  </si>
  <si>
    <t>Total (R$)</t>
  </si>
  <si>
    <t>Custo Mensal com Administração Local (R$/mês)</t>
  </si>
  <si>
    <t>3.1. Veículo Coletor Compactador 15 m³ (com até 5 anos de uso)</t>
  </si>
  <si>
    <t>Caçapava do Sul, RS - 18 de maio de 2023</t>
  </si>
  <si>
    <t>GABRIELA OTTMANN</t>
  </si>
  <si>
    <t xml:space="preserve">  Engenheira Ambiental/ Técnica Química</t>
  </si>
  <si>
    <t>CREA/RS 174268</t>
  </si>
  <si>
    <t>2.2. Uniformes e EPIs para motorista</t>
  </si>
  <si>
    <t>PREÇO POR TONELADA (R$/mês)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</si>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</sst>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(* #,##0.000_);_(* \(#,##0.000\);_(* \-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rgb="FF0000FF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5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0" fontId="3" fillId="0" borderId="15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left" vertical="center"/>
    </xf>
    <xf numFmtId="165" fontId="2" fillId="0" borderId="17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" fontId="3" fillId="0" borderId="2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7" fontId="3" fillId="0" borderId="14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vertical="center"/>
    </xf>
    <xf numFmtId="164" fontId="2" fillId="3" borderId="34" xfId="0" applyNumberFormat="1" applyFont="1" applyFill="1" applyBorder="1" applyAlignment="1">
      <alignment vertical="center"/>
    </xf>
    <xf numFmtId="0" fontId="8" fillId="3" borderId="31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4" borderId="3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8" fontId="3" fillId="0" borderId="32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164" fontId="2" fillId="3" borderId="34" xfId="0" applyNumberFormat="1" applyFont="1" applyFill="1" applyBorder="1" applyAlignment="1">
      <alignment horizontal="center" vertical="center"/>
    </xf>
    <xf numFmtId="164" fontId="3" fillId="5" borderId="32" xfId="0" applyNumberFormat="1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32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43" fontId="3" fillId="0" borderId="50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3" fillId="5" borderId="32" xfId="0" applyFont="1" applyFill="1" applyBorder="1" applyAlignment="1">
      <alignment horizontal="center" vertical="center"/>
    </xf>
    <xf numFmtId="13" fontId="3" fillId="0" borderId="14" xfId="0" applyNumberFormat="1" applyFont="1" applyBorder="1" applyAlignment="1">
      <alignment horizontal="center" vertical="center"/>
    </xf>
    <xf numFmtId="13" fontId="3" fillId="0" borderId="14" xfId="0" applyNumberFormat="1" applyFont="1" applyBorder="1" applyAlignment="1">
      <alignment horizontal="right" vertical="center"/>
    </xf>
    <xf numFmtId="164" fontId="2" fillId="6" borderId="6" xfId="0" applyNumberFormat="1" applyFont="1" applyFill="1" applyBorder="1" applyAlignment="1">
      <alignment vertical="center"/>
    </xf>
    <xf numFmtId="164" fontId="2" fillId="6" borderId="7" xfId="0" applyNumberFormat="1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164" fontId="8" fillId="6" borderId="31" xfId="0" applyNumberFormat="1" applyFont="1" applyFill="1" applyBorder="1" applyAlignment="1">
      <alignment horizontal="center" vertical="center"/>
    </xf>
    <xf numFmtId="164" fontId="8" fillId="6" borderId="19" xfId="0" applyNumberFormat="1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164" fontId="16" fillId="7" borderId="31" xfId="0" applyNumberFormat="1" applyFont="1" applyFill="1" applyBorder="1" applyAlignment="1">
      <alignment horizontal="center" vertical="center"/>
    </xf>
    <xf numFmtId="164" fontId="16" fillId="7" borderId="19" xfId="0" applyNumberFormat="1" applyFont="1" applyFill="1" applyBorder="1" applyAlignment="1">
      <alignment horizontal="center" vertical="center"/>
    </xf>
    <xf numFmtId="164" fontId="2" fillId="6" borderId="34" xfId="0" applyNumberFormat="1" applyFont="1" applyFill="1" applyBorder="1" applyAlignment="1">
      <alignment vertical="center"/>
    </xf>
    <xf numFmtId="164" fontId="2" fillId="7" borderId="34" xfId="0" applyNumberFormat="1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/>
    </xf>
    <xf numFmtId="164" fontId="3" fillId="6" borderId="7" xfId="0" applyNumberFormat="1" applyFont="1" applyFill="1" applyBorder="1" applyAlignment="1">
      <alignment vertical="center"/>
    </xf>
    <xf numFmtId="164" fontId="2" fillId="7" borderId="34" xfId="0" applyNumberFormat="1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164" fontId="2" fillId="6" borderId="7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3" fontId="3" fillId="6" borderId="14" xfId="0" applyNumberFormat="1" applyFont="1" applyFill="1" applyBorder="1" applyAlignment="1">
      <alignment vertical="center"/>
    </xf>
    <xf numFmtId="164" fontId="2" fillId="6" borderId="34" xfId="0" applyNumberFormat="1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43" fontId="3" fillId="6" borderId="45" xfId="1" applyFont="1" applyFill="1" applyBorder="1" applyAlignment="1">
      <alignment vertical="center"/>
    </xf>
    <xf numFmtId="43" fontId="2" fillId="6" borderId="52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164" fontId="2" fillId="0" borderId="5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9" fontId="2" fillId="0" borderId="19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" fontId="2" fillId="0" borderId="25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9" fontId="2" fillId="0" borderId="7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right" vertical="center"/>
    </xf>
    <xf numFmtId="164" fontId="15" fillId="0" borderId="14" xfId="0" applyNumberFormat="1" applyFont="1" applyBorder="1" applyAlignment="1">
      <alignment vertical="center"/>
    </xf>
    <xf numFmtId="164" fontId="18" fillId="0" borderId="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3" fontId="3" fillId="0" borderId="53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2" fillId="6" borderId="51" xfId="1" applyFont="1" applyFill="1" applyBorder="1" applyAlignment="1">
      <alignment horizontal="right"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43" fontId="3" fillId="0" borderId="54" xfId="1" applyFont="1" applyFill="1" applyBorder="1" applyAlignment="1">
      <alignment vertical="center"/>
    </xf>
    <xf numFmtId="43" fontId="3" fillId="0" borderId="55" xfId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43" fontId="2" fillId="6" borderId="56" xfId="1" applyFont="1" applyFill="1" applyBorder="1" applyAlignment="1">
      <alignment horizontal="center" vertical="center"/>
    </xf>
    <xf numFmtId="43" fontId="2" fillId="6" borderId="56" xfId="1" applyFont="1" applyFill="1" applyBorder="1" applyAlignment="1">
      <alignment vertical="center"/>
    </xf>
    <xf numFmtId="0" fontId="8" fillId="7" borderId="31" xfId="0" applyFont="1" applyFill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6" borderId="51" xfId="0" applyNumberFormat="1" applyFont="1" applyFill="1" applyBorder="1" applyAlignment="1">
      <alignment vertical="center"/>
    </xf>
    <xf numFmtId="164" fontId="2" fillId="6" borderId="45" xfId="0" applyNumberFormat="1" applyFont="1" applyFill="1" applyBorder="1" applyAlignment="1">
      <alignment vertical="center"/>
    </xf>
    <xf numFmtId="164" fontId="2" fillId="6" borderId="46" xfId="0" applyNumberFormat="1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6" borderId="45" xfId="0" applyNumberFormat="1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/>
    <xf numFmtId="0" fontId="4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43" fontId="6" fillId="6" borderId="44" xfId="1" applyFont="1" applyFill="1" applyBorder="1" applyAlignment="1">
      <alignment horizontal="center" vertical="center"/>
    </xf>
    <xf numFmtId="43" fontId="6" fillId="6" borderId="45" xfId="1" applyFont="1" applyFill="1" applyBorder="1" applyAlignment="1">
      <alignment horizontal="center" vertical="center"/>
    </xf>
    <xf numFmtId="43" fontId="6" fillId="6" borderId="46" xfId="1" applyFont="1" applyFill="1" applyBorder="1" applyAlignment="1">
      <alignment horizontal="center" vertical="center"/>
    </xf>
    <xf numFmtId="43" fontId="2" fillId="0" borderId="47" xfId="1" applyFont="1" applyFill="1" applyBorder="1" applyAlignment="1">
      <alignment horizontal="center" vertical="center"/>
    </xf>
    <xf numFmtId="43" fontId="2" fillId="0" borderId="48" xfId="1" applyFont="1" applyFill="1" applyBorder="1" applyAlignment="1">
      <alignment horizontal="center" vertical="center"/>
    </xf>
    <xf numFmtId="43" fontId="2" fillId="0" borderId="49" xfId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 wrapText="1"/>
    </xf>
    <xf numFmtId="0" fontId="3" fillId="0" borderId="13" xfId="0" applyFont="1" applyBorder="1"/>
    <xf numFmtId="0" fontId="3" fillId="0" borderId="16" xfId="0" applyFont="1" applyBorder="1"/>
    <xf numFmtId="164" fontId="2" fillId="0" borderId="12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164" fontId="2" fillId="0" borderId="5" xfId="0" applyNumberFormat="1" applyFont="1" applyBorder="1" applyAlignment="1">
      <alignment horizontal="center" vertical="center"/>
    </xf>
    <xf numFmtId="0" fontId="3" fillId="0" borderId="2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26" xfId="0" applyFont="1" applyBorder="1"/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272</xdr:row>
      <xdr:rowOff>133350</xdr:rowOff>
    </xdr:from>
    <xdr:to>
      <xdr:col>0</xdr:col>
      <xdr:colOff>2458085</xdr:colOff>
      <xdr:row>276</xdr:row>
      <xdr:rowOff>635</xdr:rowOff>
    </xdr:to>
    <xdr:pic>
      <xdr:nvPicPr>
        <xdr:cNvPr id="7" name="Forma1">
          <a:extLst>
            <a:ext uri="{FF2B5EF4-FFF2-40B4-BE49-F238E27FC236}">
              <a16:creationId xmlns:a16="http://schemas.microsoft.com/office/drawing/2014/main" id="{03CBCF56-FC2A-78CB-3A07-31B122280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6659" t="17845" r="43825" b="65648"/>
        <a:stretch>
          <a:fillRect/>
        </a:stretch>
      </xdr:blipFill>
      <xdr:spPr bwMode="auto">
        <a:xfrm>
          <a:off x="1000125" y="53035200"/>
          <a:ext cx="1457960" cy="629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FD51-ECB8-4681-8205-F0EB16235E40}">
  <dimension ref="A1:F279"/>
  <sheetViews>
    <sheetView tabSelected="1" topLeftCell="A253" zoomScaleNormal="100" workbookViewId="0">
      <selection activeCell="D273" sqref="D273"/>
    </sheetView>
  </sheetViews>
  <sheetFormatPr defaultRowHeight="15" x14ac:dyDescent="0.25"/>
  <cols>
    <col min="1" max="1" width="50.140625" customWidth="1"/>
    <col min="2" max="2" width="14" customWidth="1"/>
    <col min="3" max="3" width="13.28515625" customWidth="1"/>
    <col min="4" max="4" width="13.140625" customWidth="1"/>
    <col min="5" max="5" width="16.42578125" customWidth="1"/>
    <col min="6" max="6" width="18.28515625" customWidth="1"/>
  </cols>
  <sheetData>
    <row r="1" spans="1:6" ht="18" x14ac:dyDescent="0.25">
      <c r="A1" s="192" t="s">
        <v>147</v>
      </c>
      <c r="B1" s="193"/>
      <c r="C1" s="193"/>
      <c r="D1" s="193"/>
      <c r="E1" s="193"/>
      <c r="F1" s="194"/>
    </row>
    <row r="2" spans="1:6" x14ac:dyDescent="0.25">
      <c r="A2" s="214" t="s">
        <v>0</v>
      </c>
      <c r="B2" s="215"/>
      <c r="C2" s="215"/>
      <c r="D2" s="215"/>
      <c r="E2" s="215"/>
      <c r="F2" s="216"/>
    </row>
    <row r="3" spans="1:6" ht="15.75" thickBot="1" x14ac:dyDescent="0.3">
      <c r="A3" s="2"/>
      <c r="B3" s="2"/>
      <c r="C3" s="4"/>
      <c r="D3" s="4"/>
      <c r="E3" s="4"/>
      <c r="F3" s="4"/>
    </row>
    <row r="4" spans="1:6" ht="16.5" thickBot="1" x14ac:dyDescent="0.3">
      <c r="A4" s="195" t="s">
        <v>1</v>
      </c>
      <c r="B4" s="196"/>
      <c r="C4" s="196"/>
      <c r="D4" s="196"/>
      <c r="E4" s="196"/>
      <c r="F4" s="197"/>
    </row>
    <row r="5" spans="1:6" x14ac:dyDescent="0.25">
      <c r="A5" s="198" t="s">
        <v>2</v>
      </c>
      <c r="B5" s="199"/>
      <c r="C5" s="199"/>
      <c r="D5" s="200"/>
      <c r="E5" s="131" t="s">
        <v>3</v>
      </c>
      <c r="F5" s="132" t="s">
        <v>4</v>
      </c>
    </row>
    <row r="6" spans="1:6" x14ac:dyDescent="0.25">
      <c r="A6" s="130" t="str">
        <f>A39</f>
        <v>1. Mão-de-obra</v>
      </c>
      <c r="B6" s="7"/>
      <c r="C6" s="7"/>
      <c r="D6" s="7"/>
      <c r="E6" s="8">
        <f>+F108</f>
        <v>41116.719012000001</v>
      </c>
      <c r="F6" s="9">
        <f t="shared" ref="F6:F23" si="0">IFERROR(E6/$E$24,0)</f>
        <v>0.4406524150406424</v>
      </c>
    </row>
    <row r="7" spans="1:6" ht="14.25" customHeight="1" x14ac:dyDescent="0.25">
      <c r="A7" s="205" t="str">
        <f>A41</f>
        <v>1.1. Coletor Turno Dia</v>
      </c>
      <c r="B7" s="202"/>
      <c r="C7" s="202"/>
      <c r="D7" s="203"/>
      <c r="E7" s="10">
        <f>F49</f>
        <v>24182.263391999997</v>
      </c>
      <c r="F7" s="11">
        <f t="shared" si="0"/>
        <v>0.25916398537839913</v>
      </c>
    </row>
    <row r="8" spans="1:6" ht="13.5" customHeight="1" x14ac:dyDescent="0.25">
      <c r="A8" s="201" t="str">
        <f>A63</f>
        <v>1.3. Motorista Turno do Dia</v>
      </c>
      <c r="B8" s="202"/>
      <c r="C8" s="202"/>
      <c r="D8" s="203"/>
      <c r="E8" s="10">
        <f>F73</f>
        <v>11096.284620000002</v>
      </c>
      <c r="F8" s="11">
        <f t="shared" si="0"/>
        <v>0.11892010679048336</v>
      </c>
    </row>
    <row r="9" spans="1:6" x14ac:dyDescent="0.25">
      <c r="A9" s="12" t="str">
        <f>A89</f>
        <v>1.5. Vale Transporte</v>
      </c>
      <c r="B9" s="13"/>
      <c r="C9" s="13"/>
      <c r="D9" s="13"/>
      <c r="E9" s="10">
        <f>F95</f>
        <v>921.77100000000007</v>
      </c>
      <c r="F9" s="11">
        <f t="shared" si="0"/>
        <v>9.8787215279965146E-3</v>
      </c>
    </row>
    <row r="10" spans="1:6" ht="14.25" customHeight="1" x14ac:dyDescent="0.25">
      <c r="A10" s="201" t="str">
        <f>A96</f>
        <v>1.6. Vale-refeição (diário)</v>
      </c>
      <c r="B10" s="202"/>
      <c r="C10" s="202"/>
      <c r="D10" s="203"/>
      <c r="E10" s="10">
        <f>F100</f>
        <v>4580.9400000000005</v>
      </c>
      <c r="F10" s="11">
        <f t="shared" si="0"/>
        <v>4.9094439504454308E-2</v>
      </c>
    </row>
    <row r="11" spans="1:6" x14ac:dyDescent="0.25">
      <c r="A11" s="204" t="str">
        <f>A110</f>
        <v>2. Uniformes e Equipamentos de Proteção Individual</v>
      </c>
      <c r="B11" s="202"/>
      <c r="C11" s="202"/>
      <c r="D11" s="7"/>
      <c r="E11" s="8">
        <f>+F142</f>
        <v>1924.1999999999998</v>
      </c>
      <c r="F11" s="9">
        <f t="shared" si="0"/>
        <v>2.0621863742915421E-2</v>
      </c>
    </row>
    <row r="12" spans="1:6" x14ac:dyDescent="0.25">
      <c r="A12" s="14" t="str">
        <f>A144</f>
        <v>3. Veículos e Equipamentos</v>
      </c>
      <c r="B12" s="15"/>
      <c r="C12" s="7"/>
      <c r="D12" s="7"/>
      <c r="E12" s="8">
        <f>+F220</f>
        <v>29701.750239704132</v>
      </c>
      <c r="F12" s="9">
        <f t="shared" si="0"/>
        <v>0.31831693502197489</v>
      </c>
    </row>
    <row r="13" spans="1:6" x14ac:dyDescent="0.25">
      <c r="A13" s="16" t="str">
        <f>A146</f>
        <v>3.1. Veículo Coletor Compactador 15 m³ (com até 5 anos de uso)</v>
      </c>
      <c r="B13" s="17"/>
      <c r="C13" s="13"/>
      <c r="D13" s="13"/>
      <c r="E13" s="10">
        <f>SUM(E14:E19)</f>
        <v>29701.750239704132</v>
      </c>
      <c r="F13" s="11">
        <f t="shared" si="0"/>
        <v>0.31831693502197489</v>
      </c>
    </row>
    <row r="14" spans="1:6" x14ac:dyDescent="0.25">
      <c r="A14" s="18" t="s">
        <v>5</v>
      </c>
      <c r="B14" s="17"/>
      <c r="C14" s="13"/>
      <c r="D14" s="13"/>
      <c r="E14" s="10">
        <f>F162</f>
        <v>1091.8549499999999</v>
      </c>
      <c r="F14" s="11">
        <f t="shared" si="0"/>
        <v>1.1701529989568511E-2</v>
      </c>
    </row>
    <row r="15" spans="1:6" x14ac:dyDescent="0.25">
      <c r="A15" s="18" t="s">
        <v>6</v>
      </c>
      <c r="B15" s="17"/>
      <c r="C15" s="13"/>
      <c r="D15" s="13"/>
      <c r="E15" s="10">
        <f>F178</f>
        <v>7150.9315968749997</v>
      </c>
      <c r="F15" s="11">
        <f t="shared" si="0"/>
        <v>7.6637323056680612E-2</v>
      </c>
    </row>
    <row r="16" spans="1:6" x14ac:dyDescent="0.25">
      <c r="A16" s="16" t="str">
        <f>A180</f>
        <v>3.1.3. Impostos e Seguros</v>
      </c>
      <c r="B16" s="17"/>
      <c r="C16" s="13"/>
      <c r="D16" s="13"/>
      <c r="E16" s="10">
        <f>F186</f>
        <v>856.88549999999998</v>
      </c>
      <c r="F16" s="11">
        <f t="shared" si="0"/>
        <v>9.1833364641305225E-3</v>
      </c>
    </row>
    <row r="17" spans="1:6" x14ac:dyDescent="0.25">
      <c r="A17" s="16" t="str">
        <f>A188</f>
        <v>3.1.4. Consumos</v>
      </c>
      <c r="B17" s="17"/>
      <c r="C17" s="13"/>
      <c r="D17" s="13"/>
      <c r="E17" s="10">
        <f>F204</f>
        <v>14584.457110476193</v>
      </c>
      <c r="F17" s="11">
        <f t="shared" si="0"/>
        <v>0.156303236304248</v>
      </c>
    </row>
    <row r="18" spans="1:6" ht="13.5" customHeight="1" x14ac:dyDescent="0.25">
      <c r="A18" s="205" t="str">
        <f>A206</f>
        <v>3.1.5. Manutenção</v>
      </c>
      <c r="B18" s="202"/>
      <c r="C18" s="202"/>
      <c r="D18" s="203"/>
      <c r="E18" s="10">
        <f>F209</f>
        <v>4680</v>
      </c>
      <c r="F18" s="11">
        <f t="shared" si="0"/>
        <v>5.0156076456108603E-2</v>
      </c>
    </row>
    <row r="19" spans="1:6" x14ac:dyDescent="0.25">
      <c r="A19" s="16" t="str">
        <f>A211</f>
        <v>3.1.6. Pneus</v>
      </c>
      <c r="B19" s="17"/>
      <c r="C19" s="13"/>
      <c r="D19" s="13"/>
      <c r="E19" s="10">
        <f>F218</f>
        <v>1337.6210823529411</v>
      </c>
      <c r="F19" s="11">
        <f t="shared" si="0"/>
        <v>1.4335432751238645E-2</v>
      </c>
    </row>
    <row r="20" spans="1:6" x14ac:dyDescent="0.25">
      <c r="A20" s="14" t="str">
        <f>A222</f>
        <v>4. Ferramentas e Materiais de Consumo</v>
      </c>
      <c r="B20" s="15"/>
      <c r="C20" s="7"/>
      <c r="D20" s="7"/>
      <c r="E20" s="8">
        <f>+F231</f>
        <v>101.66666666666667</v>
      </c>
      <c r="F20" s="9">
        <f t="shared" si="0"/>
        <v>1.0895728859767182E-3</v>
      </c>
    </row>
    <row r="21" spans="1:6" x14ac:dyDescent="0.25">
      <c r="A21" s="14" t="str">
        <f>A233</f>
        <v>5. Administração Local</v>
      </c>
      <c r="B21" s="15"/>
      <c r="C21" s="7"/>
      <c r="D21" s="7"/>
      <c r="E21" s="8">
        <f>F240</f>
        <v>2800</v>
      </c>
      <c r="F21" s="9">
        <f t="shared" si="0"/>
        <v>3.0007908990834206E-2</v>
      </c>
    </row>
    <row r="22" spans="1:6" x14ac:dyDescent="0.25">
      <c r="A22" s="14" t="str">
        <f>A244</f>
        <v>6. Monitoramento da Frota</v>
      </c>
      <c r="B22" s="15"/>
      <c r="C22" s="7"/>
      <c r="D22" s="7"/>
      <c r="E22" s="8">
        <f>+F253</f>
        <v>80.979833333333332</v>
      </c>
      <c r="F22" s="9">
        <f t="shared" si="0"/>
        <v>8.6786981027128177E-4</v>
      </c>
    </row>
    <row r="23" spans="1:6" ht="15.75" thickBot="1" x14ac:dyDescent="0.3">
      <c r="A23" s="14" t="str">
        <f>A257</f>
        <v>7. Benefícios e Despesas Indiretas - BDI</v>
      </c>
      <c r="B23" s="15"/>
      <c r="C23" s="7"/>
      <c r="D23" s="7"/>
      <c r="E23" s="19">
        <f>+F263</f>
        <v>17583.418317545696</v>
      </c>
      <c r="F23" s="9">
        <f t="shared" si="0"/>
        <v>0.18844343450738515</v>
      </c>
    </row>
    <row r="24" spans="1:6" ht="15.75" thickBot="1" x14ac:dyDescent="0.3">
      <c r="A24" s="125" t="s">
        <v>7</v>
      </c>
      <c r="B24" s="126"/>
      <c r="C24" s="127"/>
      <c r="D24" s="127"/>
      <c r="E24" s="128">
        <f>E6+E11+E12+E20+E21+E22+E23</f>
        <v>93308.734069249826</v>
      </c>
      <c r="F24" s="129">
        <f>F6+F11+F12+F20+F21+F22+F22+F23</f>
        <v>1.0008678698102713</v>
      </c>
    </row>
    <row r="25" spans="1:6" ht="15.75" thickBot="1" x14ac:dyDescent="0.3">
      <c r="A25" s="2"/>
      <c r="B25" s="2"/>
      <c r="C25" s="2"/>
      <c r="D25" s="3"/>
      <c r="E25" s="3"/>
      <c r="F25" s="3"/>
    </row>
    <row r="26" spans="1:6" ht="16.5" thickBot="1" x14ac:dyDescent="0.3">
      <c r="A26" s="206" t="s">
        <v>8</v>
      </c>
      <c r="B26" s="207"/>
      <c r="C26" s="207"/>
      <c r="D26" s="207"/>
      <c r="E26" s="208"/>
      <c r="F26" s="3"/>
    </row>
    <row r="27" spans="1:6" ht="15.75" thickBot="1" x14ac:dyDescent="0.3">
      <c r="A27" s="209" t="s">
        <v>9</v>
      </c>
      <c r="B27" s="207"/>
      <c r="C27" s="207"/>
      <c r="D27" s="210"/>
      <c r="E27" s="20" t="s">
        <v>10</v>
      </c>
      <c r="F27" s="3"/>
    </row>
    <row r="28" spans="1:6" x14ac:dyDescent="0.25">
      <c r="A28" s="21" t="str">
        <f>+A41</f>
        <v>1.1. Coletor Turno Dia</v>
      </c>
      <c r="B28" s="6"/>
      <c r="C28" s="6"/>
      <c r="D28" s="22"/>
      <c r="E28" s="23">
        <f>C48</f>
        <v>6</v>
      </c>
      <c r="F28" s="3"/>
    </row>
    <row r="29" spans="1:6" x14ac:dyDescent="0.25">
      <c r="A29" s="12" t="str">
        <f>+A51</f>
        <v>1.2. Coletor Turno Noite</v>
      </c>
      <c r="B29" s="13"/>
      <c r="C29" s="13"/>
      <c r="D29" s="24"/>
      <c r="E29" s="25">
        <f>C60</f>
        <v>0</v>
      </c>
      <c r="F29" s="3"/>
    </row>
    <row r="30" spans="1:6" x14ac:dyDescent="0.25">
      <c r="A30" s="12" t="str">
        <f>+A63</f>
        <v>1.3. Motorista Turno do Dia</v>
      </c>
      <c r="B30" s="13"/>
      <c r="C30" s="13"/>
      <c r="D30" s="24"/>
      <c r="E30" s="25">
        <f>C72</f>
        <v>3</v>
      </c>
      <c r="F30" s="3"/>
    </row>
    <row r="31" spans="1:6" x14ac:dyDescent="0.25">
      <c r="A31" s="12" t="str">
        <f>+A75</f>
        <v>1.4. Motorista Turno Noite</v>
      </c>
      <c r="B31" s="13"/>
      <c r="C31" s="13"/>
      <c r="D31" s="24"/>
      <c r="E31" s="25">
        <f>C86</f>
        <v>0</v>
      </c>
      <c r="F31" s="3"/>
    </row>
    <row r="32" spans="1:6" ht="15.75" thickBot="1" x14ac:dyDescent="0.3">
      <c r="A32" s="133" t="s">
        <v>11</v>
      </c>
      <c r="B32" s="134"/>
      <c r="C32" s="134"/>
      <c r="D32" s="135"/>
      <c r="E32" s="139">
        <f>SUM(E28:E31)</f>
        <v>9</v>
      </c>
      <c r="F32" s="3"/>
    </row>
    <row r="33" spans="1:6" ht="15.75" thickBot="1" x14ac:dyDescent="0.3">
      <c r="A33" s="26"/>
      <c r="B33" s="27"/>
      <c r="C33" s="3"/>
      <c r="D33" s="3"/>
      <c r="E33" s="5"/>
      <c r="F33" s="3"/>
    </row>
    <row r="34" spans="1:6" x14ac:dyDescent="0.25">
      <c r="A34" s="211" t="s">
        <v>12</v>
      </c>
      <c r="B34" s="212"/>
      <c r="C34" s="212"/>
      <c r="D34" s="213"/>
      <c r="E34" s="20" t="s">
        <v>10</v>
      </c>
      <c r="F34" s="2"/>
    </row>
    <row r="35" spans="1:6" ht="15.75" thickBot="1" x14ac:dyDescent="0.3">
      <c r="A35" s="136" t="str">
        <f>+A146</f>
        <v>3.1. Veículo Coletor Compactador 15 m³ (com até 5 anos de uso)</v>
      </c>
      <c r="B35" s="137"/>
      <c r="C35" s="137"/>
      <c r="D35" s="138"/>
      <c r="E35" s="140">
        <f>C161</f>
        <v>2</v>
      </c>
      <c r="F35" s="2"/>
    </row>
    <row r="36" spans="1:6" ht="15.75" thickBot="1" x14ac:dyDescent="0.3">
      <c r="A36" s="3"/>
      <c r="B36" s="3"/>
      <c r="C36" s="3"/>
      <c r="D36" s="2"/>
      <c r="E36" s="28"/>
      <c r="F36" s="2"/>
    </row>
    <row r="37" spans="1:6" ht="15.75" thickBot="1" x14ac:dyDescent="0.3">
      <c r="A37" s="141" t="s">
        <v>13</v>
      </c>
      <c r="B37" s="142">
        <v>1</v>
      </c>
      <c r="C37" s="29"/>
      <c r="D37" s="1"/>
      <c r="E37" s="30"/>
      <c r="F37" s="1"/>
    </row>
    <row r="38" spans="1:6" x14ac:dyDescent="0.25">
      <c r="A38" s="3"/>
      <c r="B38" s="3"/>
      <c r="C38" s="3"/>
      <c r="D38" s="2"/>
      <c r="E38" s="28"/>
      <c r="F38" s="2"/>
    </row>
    <row r="39" spans="1:6" x14ac:dyDescent="0.25">
      <c r="A39" s="1" t="s">
        <v>14</v>
      </c>
      <c r="B39" s="2"/>
      <c r="C39" s="2"/>
      <c r="D39" s="3"/>
      <c r="E39" s="3"/>
      <c r="F39" s="3"/>
    </row>
    <row r="40" spans="1:6" x14ac:dyDescent="0.25">
      <c r="A40" s="2"/>
      <c r="B40" s="2"/>
      <c r="C40" s="2"/>
      <c r="D40" s="3"/>
      <c r="E40" s="3"/>
      <c r="F40" s="3"/>
    </row>
    <row r="41" spans="1:6" ht="16.5" customHeight="1" thickBot="1" x14ac:dyDescent="0.3">
      <c r="A41" s="190" t="s">
        <v>143</v>
      </c>
      <c r="B41" s="191"/>
      <c r="C41" s="191"/>
      <c r="D41" s="191"/>
      <c r="E41" s="191"/>
      <c r="F41" s="191"/>
    </row>
    <row r="42" spans="1:6" ht="15.75" thickBot="1" x14ac:dyDescent="0.3">
      <c r="A42" s="31" t="s">
        <v>15</v>
      </c>
      <c r="B42" s="32" t="s">
        <v>16</v>
      </c>
      <c r="C42" s="32" t="s">
        <v>10</v>
      </c>
      <c r="D42" s="33" t="s">
        <v>17</v>
      </c>
      <c r="E42" s="33" t="s">
        <v>18</v>
      </c>
      <c r="F42" s="34" t="s">
        <v>19</v>
      </c>
    </row>
    <row r="43" spans="1:6" x14ac:dyDescent="0.25">
      <c r="A43" s="35" t="s">
        <v>20</v>
      </c>
      <c r="B43" s="36" t="s">
        <v>21</v>
      </c>
      <c r="C43" s="36">
        <v>1</v>
      </c>
      <c r="D43" s="37">
        <v>1687.48</v>
      </c>
      <c r="E43" s="37">
        <f>C43*D43</f>
        <v>1687.48</v>
      </c>
      <c r="F43" s="3"/>
    </row>
    <row r="44" spans="1:6" x14ac:dyDescent="0.25">
      <c r="A44" s="38" t="s">
        <v>22</v>
      </c>
      <c r="B44" s="39" t="s">
        <v>4</v>
      </c>
      <c r="C44" s="39">
        <v>40</v>
      </c>
      <c r="D44" s="40">
        <f>SUM(E43)</f>
        <v>1687.48</v>
      </c>
      <c r="E44" s="40">
        <f>C44*D44/100</f>
        <v>674.99199999999996</v>
      </c>
      <c r="F44" s="3"/>
    </row>
    <row r="45" spans="1:6" x14ac:dyDescent="0.25">
      <c r="A45" s="41" t="s">
        <v>23</v>
      </c>
      <c r="B45" s="42"/>
      <c r="C45" s="42"/>
      <c r="D45" s="43"/>
      <c r="E45" s="44">
        <f>SUM(E43:E44)</f>
        <v>2362.4719999999998</v>
      </c>
      <c r="F45" s="3"/>
    </row>
    <row r="46" spans="1:6" x14ac:dyDescent="0.25">
      <c r="A46" s="38" t="s">
        <v>24</v>
      </c>
      <c r="B46" s="39" t="s">
        <v>4</v>
      </c>
      <c r="C46" s="40">
        <v>70.599999999999994</v>
      </c>
      <c r="D46" s="40">
        <f>E45</f>
        <v>2362.4719999999998</v>
      </c>
      <c r="E46" s="40">
        <f>D46*C46/100</f>
        <v>1667.9052319999996</v>
      </c>
      <c r="F46" s="3"/>
    </row>
    <row r="47" spans="1:6" x14ac:dyDescent="0.25">
      <c r="A47" s="41" t="s">
        <v>25</v>
      </c>
      <c r="B47" s="42"/>
      <c r="C47" s="42"/>
      <c r="D47" s="43"/>
      <c r="E47" s="44">
        <f>E45+E46</f>
        <v>4030.3772319999994</v>
      </c>
      <c r="F47" s="3"/>
    </row>
    <row r="48" spans="1:6" ht="15.75" thickBot="1" x14ac:dyDescent="0.3">
      <c r="A48" s="38" t="s">
        <v>26</v>
      </c>
      <c r="B48" s="39" t="s">
        <v>27</v>
      </c>
      <c r="C48" s="39">
        <v>6</v>
      </c>
      <c r="D48" s="40">
        <f>E47</f>
        <v>4030.3772319999994</v>
      </c>
      <c r="E48" s="40">
        <f>C48*D48</f>
        <v>24182.263391999997</v>
      </c>
      <c r="F48" s="3"/>
    </row>
    <row r="49" spans="1:6" ht="15.75" thickBot="1" x14ac:dyDescent="0.3">
      <c r="A49" s="2"/>
      <c r="B49" s="2"/>
      <c r="C49" s="2"/>
      <c r="D49" s="45" t="s">
        <v>28</v>
      </c>
      <c r="E49" s="46">
        <f>$B$37</f>
        <v>1</v>
      </c>
      <c r="F49" s="97">
        <f>E48*E49</f>
        <v>24182.263391999997</v>
      </c>
    </row>
    <row r="50" spans="1:6" x14ac:dyDescent="0.25">
      <c r="A50" s="2"/>
      <c r="B50" s="2"/>
      <c r="C50" s="2"/>
      <c r="D50" s="3"/>
      <c r="E50" s="3"/>
      <c r="F50" s="3"/>
    </row>
    <row r="51" spans="1:6" ht="15.75" thickBot="1" x14ac:dyDescent="0.3">
      <c r="A51" s="81" t="s">
        <v>29</v>
      </c>
      <c r="B51" s="81"/>
      <c r="C51" s="81"/>
      <c r="D51" s="143"/>
      <c r="E51" s="143"/>
      <c r="F51" s="143"/>
    </row>
    <row r="52" spans="1:6" ht="15.75" thickBot="1" x14ac:dyDescent="0.3">
      <c r="A52" s="102" t="s">
        <v>15</v>
      </c>
      <c r="B52" s="103" t="s">
        <v>16</v>
      </c>
      <c r="C52" s="103" t="s">
        <v>10</v>
      </c>
      <c r="D52" s="104" t="s">
        <v>17</v>
      </c>
      <c r="E52" s="104" t="s">
        <v>18</v>
      </c>
      <c r="F52" s="105" t="s">
        <v>150</v>
      </c>
    </row>
    <row r="53" spans="1:6" x14ac:dyDescent="0.25">
      <c r="A53" s="144" t="s">
        <v>20</v>
      </c>
      <c r="B53" s="145" t="s">
        <v>21</v>
      </c>
      <c r="C53" s="145">
        <v>1</v>
      </c>
      <c r="D53" s="82">
        <f>D43</f>
        <v>1687.48</v>
      </c>
      <c r="E53" s="82">
        <f>C53*D53</f>
        <v>1687.48</v>
      </c>
      <c r="F53" s="143"/>
    </row>
    <row r="54" spans="1:6" x14ac:dyDescent="0.25">
      <c r="A54" s="146" t="s">
        <v>30</v>
      </c>
      <c r="B54" s="147" t="s">
        <v>31</v>
      </c>
      <c r="C54" s="148">
        <v>0</v>
      </c>
      <c r="D54" s="149"/>
      <c r="E54" s="149"/>
      <c r="F54" s="143"/>
    </row>
    <row r="55" spans="1:6" x14ac:dyDescent="0.25">
      <c r="A55" s="146"/>
      <c r="B55" s="147" t="s">
        <v>32</v>
      </c>
      <c r="C55" s="148">
        <f>C54*8/7</f>
        <v>0</v>
      </c>
      <c r="D55" s="149">
        <f>D53/220*0.2</f>
        <v>1.5340727272727275</v>
      </c>
      <c r="E55" s="149">
        <f>C54*D55</f>
        <v>0</v>
      </c>
      <c r="F55" s="143"/>
    </row>
    <row r="56" spans="1:6" x14ac:dyDescent="0.25">
      <c r="A56" s="146" t="s">
        <v>22</v>
      </c>
      <c r="B56" s="147" t="s">
        <v>4</v>
      </c>
      <c r="C56" s="147">
        <f>+C44</f>
        <v>40</v>
      </c>
      <c r="D56" s="149">
        <f>SUM(E53:E55)</f>
        <v>1687.48</v>
      </c>
      <c r="E56" s="149">
        <f>C56*D56/100</f>
        <v>674.99199999999996</v>
      </c>
      <c r="F56" s="143"/>
    </row>
    <row r="57" spans="1:6" x14ac:dyDescent="0.25">
      <c r="A57" s="150" t="s">
        <v>23</v>
      </c>
      <c r="B57" s="151"/>
      <c r="C57" s="151"/>
      <c r="D57" s="152"/>
      <c r="E57" s="153">
        <f>SUM(E53:E56)</f>
        <v>2362.4719999999998</v>
      </c>
      <c r="F57" s="143"/>
    </row>
    <row r="58" spans="1:6" x14ac:dyDescent="0.25">
      <c r="A58" s="146" t="s">
        <v>24</v>
      </c>
      <c r="B58" s="147" t="s">
        <v>4</v>
      </c>
      <c r="C58" s="149">
        <v>70.599999999999994</v>
      </c>
      <c r="D58" s="149">
        <f>E57</f>
        <v>2362.4719999999998</v>
      </c>
      <c r="E58" s="149">
        <f>D58*C58/100</f>
        <v>1667.9052319999996</v>
      </c>
      <c r="F58" s="143"/>
    </row>
    <row r="59" spans="1:6" x14ac:dyDescent="0.25">
      <c r="A59" s="150" t="s">
        <v>25</v>
      </c>
      <c r="B59" s="151"/>
      <c r="C59" s="151"/>
      <c r="D59" s="152"/>
      <c r="E59" s="153">
        <f>E57+E58</f>
        <v>4030.3772319999994</v>
      </c>
      <c r="F59" s="143"/>
    </row>
    <row r="60" spans="1:6" ht="15.75" thickBot="1" x14ac:dyDescent="0.3">
      <c r="A60" s="146" t="s">
        <v>26</v>
      </c>
      <c r="B60" s="147" t="s">
        <v>27</v>
      </c>
      <c r="C60" s="147">
        <v>0</v>
      </c>
      <c r="D60" s="149">
        <f>E59</f>
        <v>4030.3772319999994</v>
      </c>
      <c r="E60" s="149">
        <f>C60*D60</f>
        <v>0</v>
      </c>
      <c r="F60" s="143"/>
    </row>
    <row r="61" spans="1:6" ht="15.75" thickBot="1" x14ac:dyDescent="0.3">
      <c r="A61" s="81"/>
      <c r="B61" s="81"/>
      <c r="C61" s="81"/>
      <c r="D61" s="154" t="s">
        <v>28</v>
      </c>
      <c r="E61" s="155">
        <f>$B$37</f>
        <v>1</v>
      </c>
      <c r="F61" s="156">
        <f>E60*E61</f>
        <v>0</v>
      </c>
    </row>
    <row r="62" spans="1:6" x14ac:dyDescent="0.25">
      <c r="A62" s="2"/>
      <c r="B62" s="2"/>
      <c r="C62" s="2"/>
      <c r="D62" s="3"/>
      <c r="E62" s="3"/>
      <c r="F62" s="3"/>
    </row>
    <row r="63" spans="1:6" ht="15.75" thickBot="1" x14ac:dyDescent="0.3">
      <c r="A63" s="2" t="s">
        <v>144</v>
      </c>
      <c r="B63" s="2"/>
      <c r="C63" s="2"/>
      <c r="D63" s="3"/>
      <c r="E63" s="3"/>
      <c r="F63" s="3"/>
    </row>
    <row r="64" spans="1:6" ht="15.75" thickBot="1" x14ac:dyDescent="0.3">
      <c r="A64" s="98" t="s">
        <v>15</v>
      </c>
      <c r="B64" s="99" t="s">
        <v>16</v>
      </c>
      <c r="C64" s="99" t="s">
        <v>10</v>
      </c>
      <c r="D64" s="100" t="s">
        <v>17</v>
      </c>
      <c r="E64" s="100" t="s">
        <v>18</v>
      </c>
      <c r="F64" s="101" t="s">
        <v>19</v>
      </c>
    </row>
    <row r="65" spans="1:6" x14ac:dyDescent="0.25">
      <c r="A65" s="35" t="s">
        <v>33</v>
      </c>
      <c r="B65" s="36" t="s">
        <v>21</v>
      </c>
      <c r="C65" s="36">
        <v>1</v>
      </c>
      <c r="D65" s="37">
        <v>1904.09</v>
      </c>
      <c r="E65" s="37">
        <f>C65*D65</f>
        <v>1904.09</v>
      </c>
      <c r="F65" s="3"/>
    </row>
    <row r="66" spans="1:6" x14ac:dyDescent="0.25">
      <c r="A66" s="35" t="s">
        <v>34</v>
      </c>
      <c r="B66" s="36" t="s">
        <v>21</v>
      </c>
      <c r="C66" s="36">
        <v>1</v>
      </c>
      <c r="D66" s="37">
        <v>1320</v>
      </c>
      <c r="E66" s="37"/>
      <c r="F66" s="3"/>
    </row>
    <row r="67" spans="1:6" x14ac:dyDescent="0.25">
      <c r="A67" s="38" t="s">
        <v>35</v>
      </c>
      <c r="B67" s="39"/>
      <c r="C67" s="90">
        <v>1</v>
      </c>
      <c r="D67" s="40"/>
      <c r="E67" s="40"/>
      <c r="F67" s="3"/>
    </row>
    <row r="68" spans="1:6" x14ac:dyDescent="0.25">
      <c r="A68" s="38" t="s">
        <v>22</v>
      </c>
      <c r="B68" s="39" t="s">
        <v>4</v>
      </c>
      <c r="C68" s="39">
        <v>20</v>
      </c>
      <c r="D68" s="40">
        <f>IF(C67=2,SUM(E65:E66),IF(C67=1,(SUM(E65:E66))*D66/D65,0))</f>
        <v>1320</v>
      </c>
      <c r="E68" s="40">
        <f>C68*D68/100</f>
        <v>264</v>
      </c>
      <c r="F68" s="3"/>
    </row>
    <row r="69" spans="1:6" x14ac:dyDescent="0.25">
      <c r="A69" s="47" t="s">
        <v>23</v>
      </c>
      <c r="B69" s="42"/>
      <c r="C69" s="42"/>
      <c r="D69" s="43"/>
      <c r="E69" s="48">
        <f>SUM(E65:E68)</f>
        <v>2168.09</v>
      </c>
      <c r="F69" s="29"/>
    </row>
    <row r="70" spans="1:6" x14ac:dyDescent="0.25">
      <c r="A70" s="38" t="s">
        <v>24</v>
      </c>
      <c r="B70" s="39" t="s">
        <v>4</v>
      </c>
      <c r="C70" s="40">
        <v>70.599999999999994</v>
      </c>
      <c r="D70" s="40">
        <f>E69</f>
        <v>2168.09</v>
      </c>
      <c r="E70" s="40">
        <f>D70*C70/100</f>
        <v>1530.67154</v>
      </c>
      <c r="F70" s="3"/>
    </row>
    <row r="71" spans="1:6" x14ac:dyDescent="0.25">
      <c r="A71" s="47" t="s">
        <v>36</v>
      </c>
      <c r="B71" s="49"/>
      <c r="C71" s="49"/>
      <c r="D71" s="91"/>
      <c r="E71" s="48">
        <f>E69+E70</f>
        <v>3698.7615400000004</v>
      </c>
      <c r="F71" s="29"/>
    </row>
    <row r="72" spans="1:6" ht="15.75" thickBot="1" x14ac:dyDescent="0.3">
      <c r="A72" s="38" t="s">
        <v>26</v>
      </c>
      <c r="B72" s="39" t="s">
        <v>27</v>
      </c>
      <c r="C72" s="39">
        <v>3</v>
      </c>
      <c r="D72" s="40">
        <f>E71</f>
        <v>3698.7615400000004</v>
      </c>
      <c r="E72" s="40">
        <f>C72*D72</f>
        <v>11096.284620000002</v>
      </c>
      <c r="F72" s="3"/>
    </row>
    <row r="73" spans="1:6" ht="15.75" thickBot="1" x14ac:dyDescent="0.3">
      <c r="A73" s="2"/>
      <c r="B73" s="2"/>
      <c r="C73" s="2"/>
      <c r="D73" s="45" t="s">
        <v>28</v>
      </c>
      <c r="E73" s="46">
        <f>$B$37</f>
        <v>1</v>
      </c>
      <c r="F73" s="97">
        <f>E72*E73</f>
        <v>11096.284620000002</v>
      </c>
    </row>
    <row r="74" spans="1:6" x14ac:dyDescent="0.25">
      <c r="A74" s="2"/>
      <c r="B74" s="2"/>
      <c r="C74" s="2"/>
      <c r="D74" s="3"/>
      <c r="E74" s="3"/>
      <c r="F74" s="3"/>
    </row>
    <row r="75" spans="1:6" ht="15.75" thickBot="1" x14ac:dyDescent="0.3">
      <c r="A75" s="2" t="s">
        <v>37</v>
      </c>
      <c r="B75" s="2"/>
      <c r="C75" s="2"/>
      <c r="D75" s="3"/>
      <c r="E75" s="3"/>
      <c r="F75" s="3"/>
    </row>
    <row r="76" spans="1:6" ht="15.75" thickBot="1" x14ac:dyDescent="0.3">
      <c r="A76" s="98" t="s">
        <v>15</v>
      </c>
      <c r="B76" s="99" t="s">
        <v>16</v>
      </c>
      <c r="C76" s="99" t="s">
        <v>10</v>
      </c>
      <c r="D76" s="100" t="s">
        <v>17</v>
      </c>
      <c r="E76" s="100" t="s">
        <v>18</v>
      </c>
      <c r="F76" s="101" t="s">
        <v>19</v>
      </c>
    </row>
    <row r="77" spans="1:6" x14ac:dyDescent="0.25">
      <c r="A77" s="35" t="s">
        <v>20</v>
      </c>
      <c r="B77" s="36" t="s">
        <v>21</v>
      </c>
      <c r="C77" s="36">
        <v>1</v>
      </c>
      <c r="D77" s="37">
        <f>D65</f>
        <v>1904.09</v>
      </c>
      <c r="E77" s="37">
        <f>C77*D77</f>
        <v>1904.09</v>
      </c>
      <c r="F77" s="3"/>
    </row>
    <row r="78" spans="1:6" x14ac:dyDescent="0.25">
      <c r="A78" s="35" t="s">
        <v>38</v>
      </c>
      <c r="B78" s="36" t="s">
        <v>21</v>
      </c>
      <c r="C78" s="36">
        <v>1</v>
      </c>
      <c r="D78" s="40">
        <f>D66</f>
        <v>1320</v>
      </c>
      <c r="E78" s="40"/>
      <c r="F78" s="3"/>
    </row>
    <row r="79" spans="1:6" x14ac:dyDescent="0.25">
      <c r="A79" s="38" t="s">
        <v>30</v>
      </c>
      <c r="B79" s="39" t="s">
        <v>31</v>
      </c>
      <c r="C79" s="157"/>
      <c r="D79" s="38"/>
      <c r="E79" s="38"/>
      <c r="F79" s="3"/>
    </row>
    <row r="80" spans="1:6" x14ac:dyDescent="0.25">
      <c r="A80" s="38"/>
      <c r="B80" s="39" t="s">
        <v>32</v>
      </c>
      <c r="C80" s="40">
        <f>C79*8/7</f>
        <v>0</v>
      </c>
      <c r="D80" s="40">
        <f>D77/220*0.2</f>
        <v>1.7309909090909092</v>
      </c>
      <c r="E80" s="40">
        <f>C79*D80</f>
        <v>0</v>
      </c>
      <c r="F80" s="3"/>
    </row>
    <row r="81" spans="1:6" x14ac:dyDescent="0.25">
      <c r="A81" s="38" t="s">
        <v>35</v>
      </c>
      <c r="B81" s="39"/>
      <c r="C81" s="90"/>
      <c r="D81" s="40"/>
      <c r="E81" s="40"/>
      <c r="F81" s="3"/>
    </row>
    <row r="82" spans="1:6" x14ac:dyDescent="0.25">
      <c r="A82" s="38" t="s">
        <v>22</v>
      </c>
      <c r="B82" s="39" t="s">
        <v>4</v>
      </c>
      <c r="C82" s="40">
        <f>+C68</f>
        <v>20</v>
      </c>
      <c r="D82" s="40">
        <f>IF(C81=2,SUM(E77:E80),IF(C81=1,SUM(E77:E80)*D78/D77,0))</f>
        <v>0</v>
      </c>
      <c r="E82" s="40">
        <f>C82*D82/100</f>
        <v>0</v>
      </c>
      <c r="F82" s="3"/>
    </row>
    <row r="83" spans="1:6" x14ac:dyDescent="0.25">
      <c r="A83" s="41" t="s">
        <v>23</v>
      </c>
      <c r="B83" s="42"/>
      <c r="C83" s="42"/>
      <c r="D83" s="43"/>
      <c r="E83" s="44">
        <f>SUM(E77:E82)</f>
        <v>1904.09</v>
      </c>
      <c r="F83" s="29"/>
    </row>
    <row r="84" spans="1:6" x14ac:dyDescent="0.25">
      <c r="A84" s="38" t="s">
        <v>24</v>
      </c>
      <c r="B84" s="39" t="s">
        <v>4</v>
      </c>
      <c r="C84" s="40">
        <v>70.599999999999994</v>
      </c>
      <c r="D84" s="40">
        <f>E83</f>
        <v>1904.09</v>
      </c>
      <c r="E84" s="40">
        <f>D84*C84/100</f>
        <v>1344.2875399999998</v>
      </c>
      <c r="F84" s="3"/>
    </row>
    <row r="85" spans="1:6" x14ac:dyDescent="0.25">
      <c r="A85" s="41" t="s">
        <v>36</v>
      </c>
      <c r="B85" s="42"/>
      <c r="C85" s="42"/>
      <c r="D85" s="43"/>
      <c r="E85" s="44">
        <f>E83+E84</f>
        <v>3248.3775399999995</v>
      </c>
      <c r="F85" s="29"/>
    </row>
    <row r="86" spans="1:6" ht="15.75" thickBot="1" x14ac:dyDescent="0.3">
      <c r="A86" s="38" t="s">
        <v>26</v>
      </c>
      <c r="B86" s="39" t="s">
        <v>27</v>
      </c>
      <c r="C86" s="39">
        <v>0</v>
      </c>
      <c r="D86" s="40">
        <f>E85</f>
        <v>3248.3775399999995</v>
      </c>
      <c r="E86" s="40">
        <f>C86*D86</f>
        <v>0</v>
      </c>
      <c r="F86" s="3"/>
    </row>
    <row r="87" spans="1:6" ht="15.75" thickBot="1" x14ac:dyDescent="0.3">
      <c r="A87" s="2"/>
      <c r="B87" s="2"/>
      <c r="C87" s="2"/>
      <c r="D87" s="45" t="s">
        <v>28</v>
      </c>
      <c r="E87" s="46">
        <f>$B$37</f>
        <v>1</v>
      </c>
      <c r="F87" s="83">
        <f>E86*E87</f>
        <v>0</v>
      </c>
    </row>
    <row r="88" spans="1:6" x14ac:dyDescent="0.25">
      <c r="A88" s="2"/>
      <c r="B88" s="2"/>
      <c r="C88" s="2"/>
      <c r="D88" s="3"/>
      <c r="E88" s="3"/>
      <c r="F88" s="3"/>
    </row>
    <row r="89" spans="1:6" ht="15.75" thickBot="1" x14ac:dyDescent="0.3">
      <c r="A89" s="2" t="s">
        <v>145</v>
      </c>
      <c r="B89" s="50"/>
      <c r="C89" s="2"/>
      <c r="D89" s="2"/>
      <c r="E89" s="2"/>
      <c r="F89" s="3"/>
    </row>
    <row r="90" spans="1:6" ht="15.75" thickBot="1" x14ac:dyDescent="0.3">
      <c r="A90" s="31" t="s">
        <v>15</v>
      </c>
      <c r="B90" s="32" t="s">
        <v>16</v>
      </c>
      <c r="C90" s="32" t="s">
        <v>10</v>
      </c>
      <c r="D90" s="33" t="s">
        <v>17</v>
      </c>
      <c r="E90" s="33" t="s">
        <v>18</v>
      </c>
      <c r="F90" s="34" t="s">
        <v>19</v>
      </c>
    </row>
    <row r="91" spans="1:6" x14ac:dyDescent="0.25">
      <c r="A91" s="38" t="s">
        <v>39</v>
      </c>
      <c r="B91" s="39" t="s">
        <v>40</v>
      </c>
      <c r="C91" s="51">
        <v>1</v>
      </c>
      <c r="D91" s="3">
        <v>4</v>
      </c>
      <c r="E91" s="40"/>
      <c r="F91" s="3"/>
    </row>
    <row r="92" spans="1:6" x14ac:dyDescent="0.25">
      <c r="A92" s="38" t="s">
        <v>41</v>
      </c>
      <c r="B92" s="39" t="s">
        <v>42</v>
      </c>
      <c r="C92" s="2">
        <v>26</v>
      </c>
      <c r="D92" s="40"/>
      <c r="E92" s="40"/>
      <c r="F92" s="3"/>
    </row>
    <row r="93" spans="1:6" x14ac:dyDescent="0.25">
      <c r="A93" s="38" t="s">
        <v>43</v>
      </c>
      <c r="B93" s="39" t="s">
        <v>44</v>
      </c>
      <c r="C93" s="52">
        <f>$C$92*2*(C48+C60)</f>
        <v>312</v>
      </c>
      <c r="D93" s="37">
        <f>IFERROR((($C$92*2*$D$91)-(E43*0.06))/($C$92*2),"-")</f>
        <v>2.0529076923076923</v>
      </c>
      <c r="E93" s="40">
        <f>IFERROR(C93*D93,"-")</f>
        <v>640.50720000000001</v>
      </c>
      <c r="F93" s="3"/>
    </row>
    <row r="94" spans="1:6" ht="15.75" thickBot="1" x14ac:dyDescent="0.3">
      <c r="A94" s="35" t="s">
        <v>45</v>
      </c>
      <c r="B94" s="36" t="s">
        <v>44</v>
      </c>
      <c r="C94" s="52">
        <f>$C$92*2*(C72+C86)</f>
        <v>156</v>
      </c>
      <c r="D94" s="37">
        <f>IFERROR((($C$92*2*$D$91)-(E65*0.06))/($C$92*2),"-")</f>
        <v>1.8029730769230772</v>
      </c>
      <c r="E94" s="37">
        <f>IFERROR(C94*D94,"-")</f>
        <v>281.26380000000006</v>
      </c>
      <c r="F94" s="3"/>
    </row>
    <row r="95" spans="1:6" ht="15.75" thickBot="1" x14ac:dyDescent="0.3">
      <c r="A95" s="2"/>
      <c r="B95" s="2"/>
      <c r="C95" s="2"/>
      <c r="D95" s="3"/>
      <c r="E95" s="3"/>
      <c r="F95" s="106">
        <f>SUM(E93:E94)</f>
        <v>921.77100000000007</v>
      </c>
    </row>
    <row r="96" spans="1:6" ht="15.75" thickBot="1" x14ac:dyDescent="0.3">
      <c r="A96" s="2" t="s">
        <v>146</v>
      </c>
      <c r="B96" s="2"/>
      <c r="C96" s="2"/>
      <c r="D96" s="3"/>
      <c r="E96" s="3"/>
      <c r="F96" s="29"/>
    </row>
    <row r="97" spans="1:6" ht="15.75" thickBot="1" x14ac:dyDescent="0.3">
      <c r="A97" s="31" t="s">
        <v>15</v>
      </c>
      <c r="B97" s="32" t="s">
        <v>16</v>
      </c>
      <c r="C97" s="32" t="s">
        <v>10</v>
      </c>
      <c r="D97" s="33" t="s">
        <v>17</v>
      </c>
      <c r="E97" s="33" t="s">
        <v>18</v>
      </c>
      <c r="F97" s="34" t="s">
        <v>19</v>
      </c>
    </row>
    <row r="98" spans="1:6" x14ac:dyDescent="0.25">
      <c r="A98" s="38" t="str">
        <f>+A93</f>
        <v>Coletor</v>
      </c>
      <c r="B98" s="39" t="s">
        <v>46</v>
      </c>
      <c r="C98" s="52">
        <f>C92*(E28+E29)</f>
        <v>156</v>
      </c>
      <c r="D98" s="40">
        <v>22</v>
      </c>
      <c r="E98" s="46">
        <f>C98*D98</f>
        <v>3432</v>
      </c>
      <c r="F98" s="29"/>
    </row>
    <row r="99" spans="1:6" ht="15.75" thickBot="1" x14ac:dyDescent="0.3">
      <c r="A99" s="38" t="str">
        <f>+A94</f>
        <v>Motorista</v>
      </c>
      <c r="B99" s="39" t="s">
        <v>46</v>
      </c>
      <c r="C99" s="52">
        <f>C92*(E30+E31)</f>
        <v>78</v>
      </c>
      <c r="D99" s="40">
        <v>14.73</v>
      </c>
      <c r="E99" s="46">
        <f>C99*D99</f>
        <v>1148.94</v>
      </c>
      <c r="F99" s="29"/>
    </row>
    <row r="100" spans="1:6" ht="15.75" thickBot="1" x14ac:dyDescent="0.3">
      <c r="A100" s="2"/>
      <c r="B100" s="2"/>
      <c r="C100" s="2"/>
      <c r="D100" s="3"/>
      <c r="E100" s="3"/>
      <c r="F100" s="106">
        <f>SUM(E98:E99)</f>
        <v>4580.9400000000005</v>
      </c>
    </row>
    <row r="101" spans="1:6" x14ac:dyDescent="0.25">
      <c r="A101" s="2"/>
      <c r="B101" s="2"/>
      <c r="C101" s="2"/>
      <c r="D101" s="3"/>
      <c r="E101" s="3"/>
      <c r="F101" s="3"/>
    </row>
    <row r="102" spans="1:6" ht="15.75" thickBot="1" x14ac:dyDescent="0.3">
      <c r="A102" s="2" t="s">
        <v>47</v>
      </c>
      <c r="B102" s="2"/>
      <c r="C102" s="2"/>
      <c r="D102" s="3"/>
      <c r="E102" s="3"/>
      <c r="F102" s="29"/>
    </row>
    <row r="103" spans="1:6" ht="15.75" thickBot="1" x14ac:dyDescent="0.3">
      <c r="A103" s="98" t="s">
        <v>15</v>
      </c>
      <c r="B103" s="99" t="s">
        <v>16</v>
      </c>
      <c r="C103" s="99" t="s">
        <v>10</v>
      </c>
      <c r="D103" s="100" t="s">
        <v>17</v>
      </c>
      <c r="E103" s="100" t="s">
        <v>18</v>
      </c>
      <c r="F103" s="101" t="s">
        <v>19</v>
      </c>
    </row>
    <row r="104" spans="1:6" x14ac:dyDescent="0.25">
      <c r="A104" s="38" t="str">
        <f>+A98</f>
        <v>Coletor</v>
      </c>
      <c r="B104" s="39" t="s">
        <v>46</v>
      </c>
      <c r="C104" s="52">
        <f>E28+E29</f>
        <v>6</v>
      </c>
      <c r="D104" s="40">
        <v>0</v>
      </c>
      <c r="E104" s="46">
        <f>C104*D104</f>
        <v>0</v>
      </c>
      <c r="F104" s="29"/>
    </row>
    <row r="105" spans="1:6" ht="15.75" thickBot="1" x14ac:dyDescent="0.3">
      <c r="A105" s="38" t="str">
        <f>+A99</f>
        <v>Motorista</v>
      </c>
      <c r="B105" s="39" t="s">
        <v>46</v>
      </c>
      <c r="C105" s="52">
        <f>E30+E31</f>
        <v>3</v>
      </c>
      <c r="D105" s="40">
        <v>111.82</v>
      </c>
      <c r="E105" s="46">
        <f>C105*D105</f>
        <v>335.46</v>
      </c>
      <c r="F105" s="29"/>
    </row>
    <row r="106" spans="1:6" ht="15.75" thickBot="1" x14ac:dyDescent="0.3">
      <c r="A106" s="2"/>
      <c r="B106" s="2"/>
      <c r="C106" s="2"/>
      <c r="D106" s="45" t="s">
        <v>28</v>
      </c>
      <c r="E106" s="46">
        <f>$B$37</f>
        <v>1</v>
      </c>
      <c r="F106" s="106">
        <f>SUM(E104:E105)*E106</f>
        <v>335.46</v>
      </c>
    </row>
    <row r="107" spans="1:6" ht="15.75" thickBot="1" x14ac:dyDescent="0.3">
      <c r="A107" s="2"/>
      <c r="B107" s="2"/>
      <c r="C107" s="2"/>
      <c r="D107" s="3"/>
      <c r="E107" s="3"/>
      <c r="F107" s="3"/>
    </row>
    <row r="108" spans="1:6" ht="15.75" thickBot="1" x14ac:dyDescent="0.3">
      <c r="A108" s="108" t="s">
        <v>48</v>
      </c>
      <c r="B108" s="114"/>
      <c r="C108" s="114"/>
      <c r="D108" s="96"/>
      <c r="E108" s="115"/>
      <c r="F108" s="107">
        <f>+F49+F61+F73+F87+F95+F100+F106</f>
        <v>41116.719012000001</v>
      </c>
    </row>
    <row r="109" spans="1:6" x14ac:dyDescent="0.25">
      <c r="A109" s="2"/>
      <c r="B109" s="2"/>
      <c r="C109" s="2"/>
      <c r="D109" s="3"/>
      <c r="E109" s="3"/>
      <c r="F109" s="3"/>
    </row>
    <row r="110" spans="1:6" x14ac:dyDescent="0.25">
      <c r="A110" s="1" t="s">
        <v>49</v>
      </c>
      <c r="B110" s="2"/>
      <c r="C110" s="2"/>
      <c r="D110" s="3"/>
      <c r="E110" s="3"/>
      <c r="F110" s="3"/>
    </row>
    <row r="111" spans="1:6" x14ac:dyDescent="0.25">
      <c r="A111" s="2"/>
      <c r="B111" s="2"/>
      <c r="C111" s="2"/>
      <c r="D111" s="3"/>
      <c r="E111" s="3"/>
      <c r="F111" s="3"/>
    </row>
    <row r="112" spans="1:6" ht="15.75" thickBot="1" x14ac:dyDescent="0.3">
      <c r="A112" s="2" t="s">
        <v>50</v>
      </c>
      <c r="B112" s="2"/>
      <c r="C112" s="2"/>
      <c r="D112" s="3"/>
      <c r="E112" s="3"/>
      <c r="F112" s="3"/>
    </row>
    <row r="113" spans="1:6" ht="24.75" thickBot="1" x14ac:dyDescent="0.3">
      <c r="A113" s="31" t="s">
        <v>15</v>
      </c>
      <c r="B113" s="32" t="s">
        <v>16</v>
      </c>
      <c r="C113" s="54" t="s">
        <v>51</v>
      </c>
      <c r="D113" s="33" t="s">
        <v>17</v>
      </c>
      <c r="E113" s="33" t="s">
        <v>18</v>
      </c>
      <c r="F113" s="34" t="s">
        <v>19</v>
      </c>
    </row>
    <row r="114" spans="1:6" x14ac:dyDescent="0.25">
      <c r="A114" s="35" t="s">
        <v>52</v>
      </c>
      <c r="B114" s="36" t="s">
        <v>46</v>
      </c>
      <c r="C114" s="39">
        <v>6</v>
      </c>
      <c r="D114" s="37">
        <v>160</v>
      </c>
      <c r="E114" s="37">
        <f t="shared" ref="E114:E122" si="1">IFERROR(D114/C114,0)</f>
        <v>26.666666666666668</v>
      </c>
      <c r="F114" s="3"/>
    </row>
    <row r="115" spans="1:6" x14ac:dyDescent="0.25">
      <c r="A115" s="38" t="s">
        <v>53</v>
      </c>
      <c r="B115" s="39" t="s">
        <v>46</v>
      </c>
      <c r="C115" s="39">
        <v>4</v>
      </c>
      <c r="D115" s="37">
        <v>44.9</v>
      </c>
      <c r="E115" s="37">
        <f t="shared" si="1"/>
        <v>11.225</v>
      </c>
      <c r="F115" s="3"/>
    </row>
    <row r="116" spans="1:6" x14ac:dyDescent="0.25">
      <c r="A116" s="38" t="s">
        <v>54</v>
      </c>
      <c r="B116" s="39" t="s">
        <v>46</v>
      </c>
      <c r="C116" s="39">
        <v>4</v>
      </c>
      <c r="D116" s="37">
        <v>24.9</v>
      </c>
      <c r="E116" s="37">
        <f t="shared" si="1"/>
        <v>6.2249999999999996</v>
      </c>
      <c r="F116" s="3"/>
    </row>
    <row r="117" spans="1:6" x14ac:dyDescent="0.25">
      <c r="A117" s="38" t="s">
        <v>55</v>
      </c>
      <c r="B117" s="39" t="s">
        <v>46</v>
      </c>
      <c r="C117" s="39">
        <v>4</v>
      </c>
      <c r="D117" s="37">
        <v>13.9</v>
      </c>
      <c r="E117" s="37">
        <f t="shared" si="1"/>
        <v>3.4750000000000001</v>
      </c>
      <c r="F117" s="3"/>
    </row>
    <row r="118" spans="1:6" x14ac:dyDescent="0.25">
      <c r="A118" s="38" t="s">
        <v>56</v>
      </c>
      <c r="B118" s="39" t="s">
        <v>57</v>
      </c>
      <c r="C118" s="39">
        <v>4</v>
      </c>
      <c r="D118" s="37">
        <v>52</v>
      </c>
      <c r="E118" s="37">
        <f t="shared" si="1"/>
        <v>13</v>
      </c>
      <c r="F118" s="3"/>
    </row>
    <row r="119" spans="1:6" x14ac:dyDescent="0.25">
      <c r="A119" s="38" t="s">
        <v>58</v>
      </c>
      <c r="B119" s="39" t="s">
        <v>57</v>
      </c>
      <c r="C119" s="39">
        <v>2</v>
      </c>
      <c r="D119" s="37">
        <v>9</v>
      </c>
      <c r="E119" s="37">
        <f t="shared" si="1"/>
        <v>4.5</v>
      </c>
      <c r="F119" s="3"/>
    </row>
    <row r="120" spans="1:6" x14ac:dyDescent="0.25">
      <c r="A120" s="38" t="s">
        <v>59</v>
      </c>
      <c r="B120" s="39" t="s">
        <v>46</v>
      </c>
      <c r="C120" s="39">
        <v>6</v>
      </c>
      <c r="D120" s="37">
        <v>27</v>
      </c>
      <c r="E120" s="37">
        <f t="shared" si="1"/>
        <v>4.5</v>
      </c>
      <c r="F120" s="3"/>
    </row>
    <row r="121" spans="1:6" x14ac:dyDescent="0.25">
      <c r="A121" s="55" t="s">
        <v>60</v>
      </c>
      <c r="B121" s="56" t="s">
        <v>46</v>
      </c>
      <c r="C121" s="39">
        <v>4</v>
      </c>
      <c r="D121" s="37">
        <v>35</v>
      </c>
      <c r="E121" s="37">
        <f t="shared" si="1"/>
        <v>8.75</v>
      </c>
      <c r="F121" s="57"/>
    </row>
    <row r="122" spans="1:6" x14ac:dyDescent="0.25">
      <c r="A122" s="38" t="s">
        <v>61</v>
      </c>
      <c r="B122" s="39" t="s">
        <v>57</v>
      </c>
      <c r="C122" s="39">
        <v>1</v>
      </c>
      <c r="D122" s="37">
        <v>11</v>
      </c>
      <c r="E122" s="37">
        <f t="shared" si="1"/>
        <v>11</v>
      </c>
      <c r="F122" s="3"/>
    </row>
    <row r="123" spans="1:6" x14ac:dyDescent="0.25">
      <c r="A123" s="38" t="s">
        <v>62</v>
      </c>
      <c r="B123" s="39" t="s">
        <v>63</v>
      </c>
      <c r="C123" s="39">
        <v>1</v>
      </c>
      <c r="D123" s="37">
        <v>19</v>
      </c>
      <c r="E123" s="37">
        <f>IFERROR(D123/C123,0)</f>
        <v>19</v>
      </c>
      <c r="F123" s="3"/>
    </row>
    <row r="124" spans="1:6" x14ac:dyDescent="0.25">
      <c r="A124" s="38" t="s">
        <v>64</v>
      </c>
      <c r="B124" s="39" t="s">
        <v>46</v>
      </c>
      <c r="C124" s="39">
        <v>6</v>
      </c>
      <c r="D124" s="37">
        <v>22</v>
      </c>
      <c r="E124" s="37">
        <f>IFERROR(D124/C124,0)</f>
        <v>3.6666666666666665</v>
      </c>
      <c r="F124" s="3"/>
    </row>
    <row r="125" spans="1:6" x14ac:dyDescent="0.25">
      <c r="A125" s="38" t="s">
        <v>65</v>
      </c>
      <c r="B125" s="39" t="s">
        <v>66</v>
      </c>
      <c r="C125" s="39">
        <v>1</v>
      </c>
      <c r="D125" s="37">
        <v>120</v>
      </c>
      <c r="E125" s="40">
        <f>C125*D125</f>
        <v>120</v>
      </c>
      <c r="F125" s="3"/>
    </row>
    <row r="126" spans="1:6" ht="15.75" thickBot="1" x14ac:dyDescent="0.3">
      <c r="A126" s="38" t="s">
        <v>26</v>
      </c>
      <c r="B126" s="39" t="s">
        <v>27</v>
      </c>
      <c r="C126" s="39">
        <f>E28+E29</f>
        <v>6</v>
      </c>
      <c r="D126" s="40">
        <f>+SUM(E114:E125)</f>
        <v>232.00833333333333</v>
      </c>
      <c r="E126" s="40">
        <f>C126*D126</f>
        <v>1392.05</v>
      </c>
      <c r="F126" s="3"/>
    </row>
    <row r="127" spans="1:6" ht="15.75" thickBot="1" x14ac:dyDescent="0.3">
      <c r="A127" s="2"/>
      <c r="B127" s="2"/>
      <c r="C127" s="2"/>
      <c r="D127" s="45" t="s">
        <v>28</v>
      </c>
      <c r="E127" s="46">
        <f>$B$37</f>
        <v>1</v>
      </c>
      <c r="F127" s="113">
        <f>E126*E127</f>
        <v>1392.05</v>
      </c>
    </row>
    <row r="128" spans="1:6" x14ac:dyDescent="0.25">
      <c r="A128" s="2"/>
      <c r="B128" s="2"/>
      <c r="C128" s="2"/>
      <c r="D128" s="3"/>
      <c r="E128" s="3"/>
      <c r="F128" s="3"/>
    </row>
    <row r="129" spans="1:6" ht="15.75" thickBot="1" x14ac:dyDescent="0.3">
      <c r="A129" s="2" t="s">
        <v>166</v>
      </c>
      <c r="B129" s="2"/>
      <c r="C129" s="2"/>
      <c r="D129" s="3"/>
      <c r="E129" s="3"/>
      <c r="F129" s="3"/>
    </row>
    <row r="130" spans="1:6" ht="24.75" thickBot="1" x14ac:dyDescent="0.3">
      <c r="A130" s="31" t="s">
        <v>15</v>
      </c>
      <c r="B130" s="32" t="s">
        <v>16</v>
      </c>
      <c r="C130" s="54" t="s">
        <v>51</v>
      </c>
      <c r="D130" s="33" t="s">
        <v>17</v>
      </c>
      <c r="E130" s="33" t="s">
        <v>18</v>
      </c>
      <c r="F130" s="34" t="s">
        <v>19</v>
      </c>
    </row>
    <row r="131" spans="1:6" x14ac:dyDescent="0.25">
      <c r="A131" s="35" t="s">
        <v>52</v>
      </c>
      <c r="B131" s="36" t="s">
        <v>46</v>
      </c>
      <c r="C131" s="39">
        <v>12</v>
      </c>
      <c r="D131" s="37">
        <f>+D114</f>
        <v>160</v>
      </c>
      <c r="E131" s="37">
        <f t="shared" ref="E131:E137" si="2">IFERROR(D131/C131,0)</f>
        <v>13.333333333333334</v>
      </c>
      <c r="F131" s="3"/>
    </row>
    <row r="132" spans="1:6" x14ac:dyDescent="0.25">
      <c r="A132" s="38" t="s">
        <v>53</v>
      </c>
      <c r="B132" s="39" t="s">
        <v>46</v>
      </c>
      <c r="C132" s="39">
        <v>6</v>
      </c>
      <c r="D132" s="40">
        <f>+D115</f>
        <v>44.9</v>
      </c>
      <c r="E132" s="37">
        <f t="shared" si="2"/>
        <v>7.4833333333333334</v>
      </c>
      <c r="F132" s="3"/>
    </row>
    <row r="133" spans="1:6" x14ac:dyDescent="0.25">
      <c r="A133" s="38" t="s">
        <v>54</v>
      </c>
      <c r="B133" s="39" t="s">
        <v>46</v>
      </c>
      <c r="C133" s="39">
        <v>6</v>
      </c>
      <c r="D133" s="40">
        <f>+D116</f>
        <v>24.9</v>
      </c>
      <c r="E133" s="37">
        <f t="shared" si="2"/>
        <v>4.1499999999999995</v>
      </c>
      <c r="F133" s="3"/>
    </row>
    <row r="134" spans="1:6" x14ac:dyDescent="0.25">
      <c r="A134" s="38" t="s">
        <v>67</v>
      </c>
      <c r="B134" s="39" t="s">
        <v>57</v>
      </c>
      <c r="C134" s="39">
        <v>6</v>
      </c>
      <c r="D134" s="40">
        <f>+D118</f>
        <v>52</v>
      </c>
      <c r="E134" s="37">
        <f t="shared" si="2"/>
        <v>8.6666666666666661</v>
      </c>
      <c r="F134" s="3"/>
    </row>
    <row r="135" spans="1:6" x14ac:dyDescent="0.25">
      <c r="A135" s="38" t="s">
        <v>68</v>
      </c>
      <c r="B135" s="39" t="s">
        <v>46</v>
      </c>
      <c r="C135" s="39">
        <v>12</v>
      </c>
      <c r="D135" s="40">
        <f>+D121</f>
        <v>35</v>
      </c>
      <c r="E135" s="37">
        <f t="shared" si="2"/>
        <v>2.9166666666666665</v>
      </c>
      <c r="F135" s="3"/>
    </row>
    <row r="136" spans="1:6" x14ac:dyDescent="0.25">
      <c r="A136" s="38" t="s">
        <v>61</v>
      </c>
      <c r="B136" s="39" t="s">
        <v>46</v>
      </c>
      <c r="C136" s="39">
        <v>6</v>
      </c>
      <c r="D136" s="40">
        <f>+D122</f>
        <v>11</v>
      </c>
      <c r="E136" s="37">
        <f>IFERROR(D136/C136,0)</f>
        <v>1.8333333333333333</v>
      </c>
      <c r="F136" s="3"/>
    </row>
    <row r="137" spans="1:6" x14ac:dyDescent="0.25">
      <c r="A137" s="38" t="s">
        <v>62</v>
      </c>
      <c r="B137" s="39" t="s">
        <v>63</v>
      </c>
      <c r="C137" s="39">
        <v>1</v>
      </c>
      <c r="D137" s="40">
        <f>+D123</f>
        <v>19</v>
      </c>
      <c r="E137" s="37">
        <f t="shared" si="2"/>
        <v>19</v>
      </c>
      <c r="F137" s="3"/>
    </row>
    <row r="138" spans="1:6" x14ac:dyDescent="0.25">
      <c r="A138" s="38" t="s">
        <v>65</v>
      </c>
      <c r="B138" s="39" t="s">
        <v>66</v>
      </c>
      <c r="C138" s="39">
        <v>1</v>
      </c>
      <c r="D138" s="37">
        <v>120</v>
      </c>
      <c r="E138" s="40">
        <f>C138*D138</f>
        <v>120</v>
      </c>
      <c r="F138" s="3"/>
    </row>
    <row r="139" spans="1:6" ht="15.75" thickBot="1" x14ac:dyDescent="0.3">
      <c r="A139" s="38" t="s">
        <v>26</v>
      </c>
      <c r="B139" s="39" t="s">
        <v>27</v>
      </c>
      <c r="C139" s="39">
        <f>E30+E31</f>
        <v>3</v>
      </c>
      <c r="D139" s="40">
        <f>+SUM(E131:E138)</f>
        <v>177.38333333333333</v>
      </c>
      <c r="E139" s="40">
        <f>C139*D139</f>
        <v>532.15</v>
      </c>
      <c r="F139" s="3"/>
    </row>
    <row r="140" spans="1:6" ht="15.75" thickBot="1" x14ac:dyDescent="0.3">
      <c r="A140" s="2"/>
      <c r="B140" s="2"/>
      <c r="C140" s="2"/>
      <c r="D140" s="45" t="s">
        <v>28</v>
      </c>
      <c r="E140" s="46">
        <f>$B$37</f>
        <v>1</v>
      </c>
      <c r="F140" s="97">
        <f>E139*E140</f>
        <v>532.15</v>
      </c>
    </row>
    <row r="141" spans="1:6" ht="15.75" thickBot="1" x14ac:dyDescent="0.3">
      <c r="A141" s="2"/>
      <c r="B141" s="2"/>
      <c r="C141" s="2"/>
      <c r="D141" s="3"/>
      <c r="E141" s="3"/>
      <c r="F141" s="3"/>
    </row>
    <row r="142" spans="1:6" ht="15.75" thickBot="1" x14ac:dyDescent="0.3">
      <c r="A142" s="108" t="s">
        <v>69</v>
      </c>
      <c r="B142" s="109"/>
      <c r="C142" s="109"/>
      <c r="D142" s="110"/>
      <c r="E142" s="111"/>
      <c r="F142" s="112">
        <f>+F127+F140</f>
        <v>1924.1999999999998</v>
      </c>
    </row>
    <row r="143" spans="1:6" x14ac:dyDescent="0.25">
      <c r="A143" s="2"/>
      <c r="B143" s="2"/>
      <c r="C143" s="2"/>
      <c r="D143" s="3"/>
      <c r="E143" s="3"/>
      <c r="F143" s="3"/>
    </row>
    <row r="144" spans="1:6" x14ac:dyDescent="0.25">
      <c r="A144" s="1" t="s">
        <v>70</v>
      </c>
      <c r="B144" s="2"/>
      <c r="C144" s="2"/>
      <c r="D144" s="3"/>
      <c r="E144" s="3"/>
      <c r="F144" s="3"/>
    </row>
    <row r="145" spans="1:6" x14ac:dyDescent="0.25">
      <c r="A145" s="2"/>
      <c r="B145" s="58"/>
      <c r="C145" s="2"/>
      <c r="D145" s="3"/>
      <c r="E145" s="3"/>
      <c r="F145" s="3"/>
    </row>
    <row r="146" spans="1:6" x14ac:dyDescent="0.25">
      <c r="A146" s="2" t="s">
        <v>161</v>
      </c>
      <c r="B146" s="2"/>
      <c r="C146" s="2"/>
      <c r="D146" s="3"/>
      <c r="E146" s="3"/>
      <c r="F146" s="3"/>
    </row>
    <row r="147" spans="1:6" x14ac:dyDescent="0.25">
      <c r="A147" s="2"/>
      <c r="B147" s="2"/>
      <c r="C147" s="2"/>
      <c r="D147" s="3"/>
      <c r="E147" s="3"/>
      <c r="F147" s="3"/>
    </row>
    <row r="148" spans="1:6" ht="15.75" thickBot="1" x14ac:dyDescent="0.3">
      <c r="A148" s="81" t="s">
        <v>5</v>
      </c>
      <c r="B148" s="2"/>
      <c r="C148" s="2"/>
      <c r="D148" s="3"/>
      <c r="E148" s="3"/>
      <c r="F148" s="3"/>
    </row>
    <row r="149" spans="1:6" ht="15.75" thickBot="1" x14ac:dyDescent="0.3">
      <c r="A149" s="31" t="s">
        <v>15</v>
      </c>
      <c r="B149" s="32" t="s">
        <v>16</v>
      </c>
      <c r="C149" s="32" t="s">
        <v>10</v>
      </c>
      <c r="D149" s="33" t="s">
        <v>17</v>
      </c>
      <c r="E149" s="33" t="s">
        <v>18</v>
      </c>
      <c r="F149" s="34" t="s">
        <v>19</v>
      </c>
    </row>
    <row r="150" spans="1:6" x14ac:dyDescent="0.25">
      <c r="A150" s="35" t="s">
        <v>71</v>
      </c>
      <c r="B150" s="36" t="s">
        <v>46</v>
      </c>
      <c r="C150" s="36">
        <v>1</v>
      </c>
      <c r="D150" s="92">
        <v>255036.3</v>
      </c>
      <c r="E150" s="37">
        <f>C150*D150</f>
        <v>255036.3</v>
      </c>
      <c r="F150" s="3"/>
    </row>
    <row r="151" spans="1:6" x14ac:dyDescent="0.25">
      <c r="A151" s="38" t="s">
        <v>72</v>
      </c>
      <c r="B151" s="39" t="s">
        <v>73</v>
      </c>
      <c r="C151" s="39">
        <v>5</v>
      </c>
      <c r="D151" s="40"/>
      <c r="E151" s="40"/>
      <c r="F151" s="3"/>
    </row>
    <row r="152" spans="1:6" x14ac:dyDescent="0.25">
      <c r="A152" s="38" t="s">
        <v>74</v>
      </c>
      <c r="B152" s="39" t="s">
        <v>73</v>
      </c>
      <c r="C152" s="59">
        <v>5</v>
      </c>
      <c r="D152" s="40"/>
      <c r="E152" s="40"/>
      <c r="F152" s="60"/>
    </row>
    <row r="153" spans="1:6" x14ac:dyDescent="0.25">
      <c r="A153" s="38" t="s">
        <v>75</v>
      </c>
      <c r="B153" s="39" t="s">
        <v>4</v>
      </c>
      <c r="C153" s="61">
        <v>9.5</v>
      </c>
      <c r="D153" s="40">
        <f>E150</f>
        <v>255036.3</v>
      </c>
      <c r="E153" s="40">
        <f>C153*D153/100</f>
        <v>24228.448500000002</v>
      </c>
      <c r="F153" s="3"/>
    </row>
    <row r="154" spans="1:6" ht="15.75" thickBot="1" x14ac:dyDescent="0.3">
      <c r="A154" s="62" t="s">
        <v>76</v>
      </c>
      <c r="B154" s="63" t="s">
        <v>21</v>
      </c>
      <c r="C154" s="63">
        <f>C151*12</f>
        <v>60</v>
      </c>
      <c r="D154" s="64">
        <f>IF(C152&lt;=C151,E153,0)</f>
        <v>24228.448500000002</v>
      </c>
      <c r="E154" s="65">
        <f>IFERROR(D154/C154,0)</f>
        <v>403.80747500000001</v>
      </c>
      <c r="F154" s="3"/>
    </row>
    <row r="155" spans="1:6" ht="15.75" thickTop="1" x14ac:dyDescent="0.25">
      <c r="A155" s="35" t="s">
        <v>77</v>
      </c>
      <c r="B155" s="36" t="s">
        <v>46</v>
      </c>
      <c r="C155" s="36">
        <f>C150</f>
        <v>1</v>
      </c>
      <c r="D155" s="37">
        <v>89760</v>
      </c>
      <c r="E155" s="37">
        <f>C155*D155</f>
        <v>89760</v>
      </c>
      <c r="F155" s="3"/>
    </row>
    <row r="156" spans="1:6" x14ac:dyDescent="0.25">
      <c r="A156" s="38" t="s">
        <v>78</v>
      </c>
      <c r="B156" s="39" t="s">
        <v>73</v>
      </c>
      <c r="C156" s="39">
        <v>5</v>
      </c>
      <c r="D156" s="40"/>
      <c r="E156" s="40"/>
      <c r="F156" s="3"/>
    </row>
    <row r="157" spans="1:6" x14ac:dyDescent="0.25">
      <c r="A157" s="38" t="s">
        <v>79</v>
      </c>
      <c r="B157" s="39" t="s">
        <v>73</v>
      </c>
      <c r="C157" s="39">
        <v>5</v>
      </c>
      <c r="D157" s="40"/>
      <c r="E157" s="40"/>
      <c r="F157" s="60"/>
    </row>
    <row r="158" spans="1:6" x14ac:dyDescent="0.25">
      <c r="A158" s="38" t="s">
        <v>80</v>
      </c>
      <c r="B158" s="39" t="s">
        <v>4</v>
      </c>
      <c r="C158" s="61">
        <v>9.5</v>
      </c>
      <c r="D158" s="40">
        <f>E155</f>
        <v>89760</v>
      </c>
      <c r="E158" s="40">
        <f>C158*D158/100</f>
        <v>8527.2000000000007</v>
      </c>
      <c r="F158" s="3"/>
    </row>
    <row r="159" spans="1:6" x14ac:dyDescent="0.25">
      <c r="A159" s="47" t="s">
        <v>81</v>
      </c>
      <c r="B159" s="59" t="s">
        <v>21</v>
      </c>
      <c r="C159" s="59">
        <f>C156*12</f>
        <v>60</v>
      </c>
      <c r="D159" s="48">
        <f>IF(C157&lt;=C156,E158,0)</f>
        <v>8527.2000000000007</v>
      </c>
      <c r="E159" s="48">
        <f>IFERROR(D159/C159,0)</f>
        <v>142.12</v>
      </c>
      <c r="F159" s="3"/>
    </row>
    <row r="160" spans="1:6" x14ac:dyDescent="0.25">
      <c r="A160" s="41" t="s">
        <v>82</v>
      </c>
      <c r="B160" s="42"/>
      <c r="C160" s="42"/>
      <c r="D160" s="43"/>
      <c r="E160" s="44">
        <f>E154+E159</f>
        <v>545.92747499999996</v>
      </c>
      <c r="F160" s="3"/>
    </row>
    <row r="161" spans="1:6" ht="15.75" thickBot="1" x14ac:dyDescent="0.3">
      <c r="A161" s="47" t="s">
        <v>83</v>
      </c>
      <c r="B161" s="59" t="s">
        <v>46</v>
      </c>
      <c r="C161" s="39">
        <v>2</v>
      </c>
      <c r="D161" s="48">
        <f>E160</f>
        <v>545.92747499999996</v>
      </c>
      <c r="E161" s="44">
        <f>C161*D161</f>
        <v>1091.8549499999999</v>
      </c>
      <c r="F161" s="3"/>
    </row>
    <row r="162" spans="1:6" ht="15.75" thickBot="1" x14ac:dyDescent="0.3">
      <c r="A162" s="66"/>
      <c r="B162" s="66"/>
      <c r="C162" s="66"/>
      <c r="D162" s="45" t="s">
        <v>28</v>
      </c>
      <c r="E162" s="46">
        <f>$B$37</f>
        <v>1</v>
      </c>
      <c r="F162" s="112">
        <f>E161*E162</f>
        <v>1091.8549499999999</v>
      </c>
    </row>
    <row r="163" spans="1:6" x14ac:dyDescent="0.25">
      <c r="A163" s="2"/>
      <c r="B163" s="2"/>
      <c r="C163" s="2"/>
      <c r="D163" s="3"/>
      <c r="E163" s="3"/>
      <c r="F163" s="3"/>
    </row>
    <row r="164" spans="1:6" ht="15.75" thickBot="1" x14ac:dyDescent="0.3">
      <c r="A164" s="81" t="s">
        <v>6</v>
      </c>
      <c r="B164" s="2"/>
      <c r="C164" s="2"/>
      <c r="D164" s="3"/>
      <c r="E164" s="3"/>
      <c r="F164" s="3"/>
    </row>
    <row r="165" spans="1:6" ht="15.75" thickBot="1" x14ac:dyDescent="0.3">
      <c r="A165" s="67" t="s">
        <v>15</v>
      </c>
      <c r="B165" s="68" t="s">
        <v>16</v>
      </c>
      <c r="C165" s="68" t="s">
        <v>10</v>
      </c>
      <c r="D165" s="69" t="s">
        <v>17</v>
      </c>
      <c r="E165" s="69" t="s">
        <v>18</v>
      </c>
      <c r="F165" s="34" t="s">
        <v>19</v>
      </c>
    </row>
    <row r="166" spans="1:6" x14ac:dyDescent="0.25">
      <c r="A166" s="170" t="s">
        <v>84</v>
      </c>
      <c r="B166" s="87" t="s">
        <v>46</v>
      </c>
      <c r="C166" s="87">
        <v>1</v>
      </c>
      <c r="D166" s="172">
        <f>D150</f>
        <v>255036.3</v>
      </c>
      <c r="E166" s="171">
        <f>C166*D166</f>
        <v>255036.3</v>
      </c>
      <c r="F166" s="60"/>
    </row>
    <row r="167" spans="1:6" x14ac:dyDescent="0.25">
      <c r="A167" s="38" t="s">
        <v>85</v>
      </c>
      <c r="B167" s="36" t="s">
        <v>4</v>
      </c>
      <c r="C167" s="36">
        <v>13.75</v>
      </c>
      <c r="D167" s="37"/>
      <c r="E167" s="40"/>
      <c r="F167" s="60"/>
    </row>
    <row r="168" spans="1:6" x14ac:dyDescent="0.25">
      <c r="A168" s="38" t="s">
        <v>86</v>
      </c>
      <c r="B168" s="39" t="s">
        <v>40</v>
      </c>
      <c r="C168" s="40">
        <f>IFERROR(IF(C152&lt;=C151,E150-(C153/(100*C151)*C152)*E150,E150-E153),0)</f>
        <v>230807.85149999999</v>
      </c>
      <c r="D168" s="40"/>
      <c r="E168" s="40"/>
      <c r="F168" s="60"/>
    </row>
    <row r="169" spans="1:6" x14ac:dyDescent="0.25">
      <c r="A169" s="38" t="s">
        <v>87</v>
      </c>
      <c r="B169" s="39" t="s">
        <v>40</v>
      </c>
      <c r="C169" s="40">
        <f>IFERROR(IF(C152&gt;=C151,C168,((((C168)-(E150-E153))*(((C151-C152)+1)/(2*(C151-C152))))+(E150-E153))),0)</f>
        <v>230807.85149999999</v>
      </c>
      <c r="D169" s="40"/>
      <c r="E169" s="40"/>
      <c r="F169" s="60"/>
    </row>
    <row r="170" spans="1:6" ht="15.75" thickBot="1" x14ac:dyDescent="0.3">
      <c r="A170" s="62" t="s">
        <v>88</v>
      </c>
      <c r="B170" s="63" t="s">
        <v>40</v>
      </c>
      <c r="C170" s="63"/>
      <c r="D170" s="64">
        <f>C167*C169/12/100</f>
        <v>2644.6732984374999</v>
      </c>
      <c r="E170" s="64">
        <f>D170</f>
        <v>2644.6732984374999</v>
      </c>
      <c r="F170" s="60"/>
    </row>
    <row r="171" spans="1:6" ht="15.75" thickTop="1" x14ac:dyDescent="0.25">
      <c r="A171" s="35" t="s">
        <v>89</v>
      </c>
      <c r="B171" s="36" t="s">
        <v>46</v>
      </c>
      <c r="C171" s="36">
        <f>C155</f>
        <v>1</v>
      </c>
      <c r="D171" s="37">
        <v>89760</v>
      </c>
      <c r="E171" s="37">
        <f>C171*D171</f>
        <v>89760</v>
      </c>
      <c r="F171" s="60"/>
    </row>
    <row r="172" spans="1:6" x14ac:dyDescent="0.25">
      <c r="A172" s="38" t="s">
        <v>85</v>
      </c>
      <c r="B172" s="39" t="s">
        <v>4</v>
      </c>
      <c r="C172" s="39">
        <f>C167</f>
        <v>13.75</v>
      </c>
      <c r="D172" s="40"/>
      <c r="E172" s="40"/>
      <c r="F172" s="60"/>
    </row>
    <row r="173" spans="1:6" x14ac:dyDescent="0.25">
      <c r="A173" s="38" t="s">
        <v>90</v>
      </c>
      <c r="B173" s="39" t="s">
        <v>40</v>
      </c>
      <c r="C173" s="40">
        <f>IFERROR(IF(C157&lt;=C156,E155-(C158/(100*C156)*C157)*E155,E155-E158),0)</f>
        <v>81232.800000000003</v>
      </c>
      <c r="D173" s="40"/>
      <c r="E173" s="40"/>
      <c r="F173" s="60"/>
    </row>
    <row r="174" spans="1:6" x14ac:dyDescent="0.25">
      <c r="A174" s="38" t="s">
        <v>91</v>
      </c>
      <c r="B174" s="39" t="s">
        <v>40</v>
      </c>
      <c r="C174" s="40">
        <f>IFERROR(IF(C157&gt;=C156,C173,((((C173)-(E155-E158))*(((C156-C157)+1)/(2*(C156-C157))))+(E155-E158))),0)</f>
        <v>81232.800000000003</v>
      </c>
      <c r="D174" s="40"/>
      <c r="E174" s="40"/>
      <c r="F174" s="60"/>
    </row>
    <row r="175" spans="1:6" x14ac:dyDescent="0.25">
      <c r="A175" s="47" t="s">
        <v>92</v>
      </c>
      <c r="B175" s="59" t="s">
        <v>40</v>
      </c>
      <c r="C175" s="59"/>
      <c r="D175" s="48">
        <f>C172*C174/12/100</f>
        <v>930.79250000000002</v>
      </c>
      <c r="E175" s="48">
        <f>D175</f>
        <v>930.79250000000002</v>
      </c>
      <c r="F175" s="60"/>
    </row>
    <row r="176" spans="1:6" x14ac:dyDescent="0.25">
      <c r="A176" s="41" t="s">
        <v>82</v>
      </c>
      <c r="B176" s="42"/>
      <c r="C176" s="42"/>
      <c r="D176" s="43"/>
      <c r="E176" s="44">
        <f>E170+E175</f>
        <v>3575.4657984374999</v>
      </c>
      <c r="F176" s="60"/>
    </row>
    <row r="177" spans="1:6" ht="15.75" thickBot="1" x14ac:dyDescent="0.3">
      <c r="A177" s="47" t="s">
        <v>83</v>
      </c>
      <c r="B177" s="59" t="s">
        <v>46</v>
      </c>
      <c r="C177" s="39">
        <f>C161</f>
        <v>2</v>
      </c>
      <c r="D177" s="48">
        <f>E176</f>
        <v>3575.4657984374999</v>
      </c>
      <c r="E177" s="44">
        <f>C177*D177</f>
        <v>7150.9315968749997</v>
      </c>
      <c r="F177" s="60"/>
    </row>
    <row r="178" spans="1:6" ht="15.75" thickBot="1" x14ac:dyDescent="0.3">
      <c r="A178" s="2"/>
      <c r="B178" s="2"/>
      <c r="C178" s="70"/>
      <c r="D178" s="45" t="s">
        <v>28</v>
      </c>
      <c r="E178" s="46">
        <f>$B$37</f>
        <v>1</v>
      </c>
      <c r="F178" s="112">
        <f>E177*E178</f>
        <v>7150.9315968749997</v>
      </c>
    </row>
    <row r="179" spans="1:6" x14ac:dyDescent="0.25">
      <c r="A179" s="2"/>
      <c r="B179" s="2"/>
      <c r="C179" s="2"/>
      <c r="D179" s="3"/>
      <c r="E179" s="3"/>
      <c r="F179" s="3"/>
    </row>
    <row r="180" spans="1:6" ht="15.75" thickBot="1" x14ac:dyDescent="0.3">
      <c r="A180" s="2" t="s">
        <v>93</v>
      </c>
      <c r="B180" s="2"/>
      <c r="C180" s="2"/>
      <c r="D180" s="3"/>
      <c r="E180" s="3"/>
      <c r="F180" s="3"/>
    </row>
    <row r="181" spans="1:6" ht="15.75" thickBot="1" x14ac:dyDescent="0.3">
      <c r="A181" s="31" t="s">
        <v>15</v>
      </c>
      <c r="B181" s="32" t="s">
        <v>16</v>
      </c>
      <c r="C181" s="32" t="s">
        <v>10</v>
      </c>
      <c r="D181" s="33" t="s">
        <v>17</v>
      </c>
      <c r="E181" s="33" t="s">
        <v>18</v>
      </c>
      <c r="F181" s="34" t="s">
        <v>19</v>
      </c>
    </row>
    <row r="182" spans="1:6" x14ac:dyDescent="0.25">
      <c r="A182" s="35" t="s">
        <v>94</v>
      </c>
      <c r="B182" s="36" t="s">
        <v>46</v>
      </c>
      <c r="C182" s="37">
        <v>2</v>
      </c>
      <c r="D182" s="37">
        <f>0.01*($E$150)</f>
        <v>2550.3629999999998</v>
      </c>
      <c r="E182" s="37">
        <f>C182*D182</f>
        <v>5100.7259999999997</v>
      </c>
      <c r="F182" s="3"/>
    </row>
    <row r="183" spans="1:6" x14ac:dyDescent="0.25">
      <c r="A183" s="38" t="s">
        <v>95</v>
      </c>
      <c r="B183" s="39" t="s">
        <v>46</v>
      </c>
      <c r="C183" s="37">
        <v>2</v>
      </c>
      <c r="D183" s="40">
        <v>90.95</v>
      </c>
      <c r="E183" s="40">
        <f>C183*D183</f>
        <v>181.9</v>
      </c>
      <c r="F183" s="3"/>
    </row>
    <row r="184" spans="1:6" x14ac:dyDescent="0.25">
      <c r="A184" s="38" t="s">
        <v>96</v>
      </c>
      <c r="B184" s="39" t="s">
        <v>46</v>
      </c>
      <c r="C184" s="37">
        <v>2</v>
      </c>
      <c r="D184" s="40">
        <v>2500</v>
      </c>
      <c r="E184" s="40">
        <f>C184*D184</f>
        <v>5000</v>
      </c>
      <c r="F184" s="43"/>
    </row>
    <row r="185" spans="1:6" ht="15.75" thickBot="1" x14ac:dyDescent="0.3">
      <c r="A185" s="47" t="s">
        <v>97</v>
      </c>
      <c r="B185" s="59" t="s">
        <v>21</v>
      </c>
      <c r="C185" s="59">
        <v>12</v>
      </c>
      <c r="D185" s="48">
        <f>SUM(E182:E184)</f>
        <v>10282.626</v>
      </c>
      <c r="E185" s="48">
        <f>D185/C185</f>
        <v>856.88549999999998</v>
      </c>
      <c r="F185" s="3"/>
    </row>
    <row r="186" spans="1:6" ht="15.75" thickBot="1" x14ac:dyDescent="0.3">
      <c r="A186" s="2"/>
      <c r="B186" s="2"/>
      <c r="C186" s="2"/>
      <c r="D186" s="45" t="s">
        <v>28</v>
      </c>
      <c r="E186" s="46">
        <f>$B$37</f>
        <v>1</v>
      </c>
      <c r="F186" s="113">
        <f>E185*E186</f>
        <v>856.88549999999998</v>
      </c>
    </row>
    <row r="187" spans="1:6" x14ac:dyDescent="0.25">
      <c r="A187" s="2"/>
      <c r="B187" s="2"/>
      <c r="C187" s="2"/>
      <c r="D187" s="3"/>
      <c r="E187" s="3"/>
      <c r="F187" s="3"/>
    </row>
    <row r="188" spans="1:6" x14ac:dyDescent="0.25">
      <c r="A188" s="2" t="s">
        <v>98</v>
      </c>
      <c r="B188" s="71"/>
      <c r="C188" s="2"/>
      <c r="D188" s="3"/>
      <c r="E188" s="3"/>
      <c r="F188" s="3"/>
    </row>
    <row r="189" spans="1:6" x14ac:dyDescent="0.25">
      <c r="A189" s="2"/>
      <c r="B189" s="71"/>
      <c r="C189" s="2"/>
      <c r="D189" s="3"/>
      <c r="E189" s="3"/>
      <c r="F189" s="3"/>
    </row>
    <row r="190" spans="1:6" x14ac:dyDescent="0.25">
      <c r="A190" s="116" t="s">
        <v>99</v>
      </c>
      <c r="B190" s="117">
        <v>5200</v>
      </c>
      <c r="C190" s="2"/>
      <c r="D190" s="3"/>
      <c r="E190" s="3"/>
      <c r="F190" s="3"/>
    </row>
    <row r="191" spans="1:6" ht="15.75" thickBot="1" x14ac:dyDescent="0.3">
      <c r="A191" s="2"/>
      <c r="B191" s="71"/>
      <c r="C191" s="2"/>
      <c r="D191" s="3"/>
      <c r="E191" s="3"/>
      <c r="F191" s="3"/>
    </row>
    <row r="192" spans="1:6" ht="15.75" thickBot="1" x14ac:dyDescent="0.3">
      <c r="A192" s="31" t="s">
        <v>15</v>
      </c>
      <c r="B192" s="32" t="s">
        <v>16</v>
      </c>
      <c r="C192" s="32" t="s">
        <v>100</v>
      </c>
      <c r="D192" s="33" t="s">
        <v>17</v>
      </c>
      <c r="E192" s="33" t="s">
        <v>18</v>
      </c>
      <c r="F192" s="34" t="s">
        <v>19</v>
      </c>
    </row>
    <row r="193" spans="1:6" x14ac:dyDescent="0.25">
      <c r="A193" s="35" t="s">
        <v>101</v>
      </c>
      <c r="B193" s="36" t="s">
        <v>102</v>
      </c>
      <c r="C193" s="93">
        <v>2.1</v>
      </c>
      <c r="D193" s="72">
        <v>5.65</v>
      </c>
      <c r="E193" s="37"/>
      <c r="F193" s="60"/>
    </row>
    <row r="194" spans="1:6" x14ac:dyDescent="0.25">
      <c r="A194" s="38" t="s">
        <v>103</v>
      </c>
      <c r="B194" s="39" t="s">
        <v>104</v>
      </c>
      <c r="C194" s="77">
        <f>B190</f>
        <v>5200</v>
      </c>
      <c r="D194" s="72">
        <f>IFERROR(+D193/C193,"-")</f>
        <v>2.6904761904761907</v>
      </c>
      <c r="E194" s="40">
        <f>IFERROR(C194*D194,"-")</f>
        <v>13990.476190476191</v>
      </c>
      <c r="F194" s="60"/>
    </row>
    <row r="195" spans="1:6" x14ac:dyDescent="0.25">
      <c r="A195" s="38" t="s">
        <v>105</v>
      </c>
      <c r="B195" s="39" t="s">
        <v>106</v>
      </c>
      <c r="C195" s="39">
        <v>2</v>
      </c>
      <c r="D195" s="40">
        <v>28.77</v>
      </c>
      <c r="E195" s="40"/>
      <c r="F195" s="60"/>
    </row>
    <row r="196" spans="1:6" x14ac:dyDescent="0.25">
      <c r="A196" s="38" t="s">
        <v>107</v>
      </c>
      <c r="B196" s="39" t="s">
        <v>104</v>
      </c>
      <c r="C196" s="84">
        <f>C194</f>
        <v>5200</v>
      </c>
      <c r="D196" s="73">
        <f>+C195*D195/1000</f>
        <v>5.7540000000000001E-2</v>
      </c>
      <c r="E196" s="40">
        <f>C196*D196</f>
        <v>299.20800000000003</v>
      </c>
      <c r="F196" s="60"/>
    </row>
    <row r="197" spans="1:6" x14ac:dyDescent="0.25">
      <c r="A197" s="38" t="s">
        <v>108</v>
      </c>
      <c r="B197" s="39" t="s">
        <v>106</v>
      </c>
      <c r="C197" s="39">
        <v>0.24</v>
      </c>
      <c r="D197" s="40">
        <v>20.6</v>
      </c>
      <c r="E197" s="40"/>
      <c r="F197" s="60"/>
    </row>
    <row r="198" spans="1:6" x14ac:dyDescent="0.25">
      <c r="A198" s="38" t="s">
        <v>109</v>
      </c>
      <c r="B198" s="39" t="s">
        <v>104</v>
      </c>
      <c r="C198" s="84">
        <f>C194</f>
        <v>5200</v>
      </c>
      <c r="D198" s="73">
        <f>+C197*D197/1000</f>
        <v>4.9439999999999996E-3</v>
      </c>
      <c r="E198" s="40">
        <f>C198*D198</f>
        <v>25.708799999999997</v>
      </c>
      <c r="F198" s="60"/>
    </row>
    <row r="199" spans="1:6" x14ac:dyDescent="0.25">
      <c r="A199" s="38" t="s">
        <v>110</v>
      </c>
      <c r="B199" s="39" t="s">
        <v>106</v>
      </c>
      <c r="C199" s="39">
        <v>1.19</v>
      </c>
      <c r="D199" s="40">
        <v>20.49</v>
      </c>
      <c r="E199" s="40"/>
      <c r="F199" s="60"/>
    </row>
    <row r="200" spans="1:6" x14ac:dyDescent="0.25">
      <c r="A200" s="38" t="s">
        <v>111</v>
      </c>
      <c r="B200" s="39" t="s">
        <v>104</v>
      </c>
      <c r="C200" s="84">
        <f>C194</f>
        <v>5200</v>
      </c>
      <c r="D200" s="73">
        <f>+C199*D199/1000</f>
        <v>2.4383099999999994E-2</v>
      </c>
      <c r="E200" s="40">
        <f>C200*D200</f>
        <v>126.79211999999997</v>
      </c>
      <c r="F200" s="60"/>
    </row>
    <row r="201" spans="1:6" x14ac:dyDescent="0.25">
      <c r="A201" s="38" t="s">
        <v>112</v>
      </c>
      <c r="B201" s="39" t="s">
        <v>113</v>
      </c>
      <c r="C201" s="39">
        <v>1.71</v>
      </c>
      <c r="D201" s="40">
        <v>16</v>
      </c>
      <c r="E201" s="40" t="s">
        <v>114</v>
      </c>
      <c r="F201" s="60"/>
    </row>
    <row r="202" spans="1:6" x14ac:dyDescent="0.25">
      <c r="A202" s="38" t="s">
        <v>115</v>
      </c>
      <c r="B202" s="39" t="s">
        <v>104</v>
      </c>
      <c r="C202" s="39">
        <f>C194</f>
        <v>5200</v>
      </c>
      <c r="D202" s="73">
        <f>+C201*D201/1000</f>
        <v>2.7359999999999999E-2</v>
      </c>
      <c r="E202" s="40">
        <f>C202*D202</f>
        <v>142.27199999999999</v>
      </c>
      <c r="F202" s="60"/>
    </row>
    <row r="203" spans="1:6" ht="15.75" thickBot="1" x14ac:dyDescent="0.3">
      <c r="A203" s="47" t="s">
        <v>116</v>
      </c>
      <c r="B203" s="59" t="s">
        <v>117</v>
      </c>
      <c r="C203" s="59"/>
      <c r="D203" s="74">
        <f>IFERROR(D194+D196+D198+D200+D202,0)</f>
        <v>2.8047032904761906</v>
      </c>
      <c r="E203" s="40"/>
      <c r="F203" s="60"/>
    </row>
    <row r="204" spans="1:6" ht="15.75" thickBot="1" x14ac:dyDescent="0.3">
      <c r="A204" s="2"/>
      <c r="B204" s="2"/>
      <c r="C204" s="2"/>
      <c r="D204" s="3"/>
      <c r="E204" s="3"/>
      <c r="F204" s="118">
        <f>SUM(E193:E202)</f>
        <v>14584.457110476193</v>
      </c>
    </row>
    <row r="205" spans="1:6" x14ac:dyDescent="0.25">
      <c r="A205" s="2"/>
      <c r="B205" s="2"/>
      <c r="C205" s="2"/>
      <c r="D205" s="3"/>
      <c r="E205" s="3"/>
      <c r="F205" s="3"/>
    </row>
    <row r="206" spans="1:6" ht="15.75" thickBot="1" x14ac:dyDescent="0.3">
      <c r="A206" s="2" t="s">
        <v>148</v>
      </c>
      <c r="B206" s="2"/>
      <c r="C206" s="2"/>
      <c r="D206" s="3"/>
      <c r="E206" s="3"/>
      <c r="F206" s="3"/>
    </row>
    <row r="207" spans="1:6" ht="15.75" thickBot="1" x14ac:dyDescent="0.3">
      <c r="A207" s="31" t="s">
        <v>15</v>
      </c>
      <c r="B207" s="32" t="s">
        <v>16</v>
      </c>
      <c r="C207" s="32" t="s">
        <v>10</v>
      </c>
      <c r="D207" s="33" t="s">
        <v>17</v>
      </c>
      <c r="E207" s="33" t="s">
        <v>18</v>
      </c>
      <c r="F207" s="34" t="s">
        <v>19</v>
      </c>
    </row>
    <row r="208" spans="1:6" ht="15.75" thickBot="1" x14ac:dyDescent="0.3">
      <c r="A208" s="35" t="s">
        <v>118</v>
      </c>
      <c r="B208" s="36" t="s">
        <v>117</v>
      </c>
      <c r="C208" s="51">
        <f>C194</f>
        <v>5200</v>
      </c>
      <c r="D208" s="37">
        <v>0.9</v>
      </c>
      <c r="E208" s="37">
        <f>C208*D208</f>
        <v>4680</v>
      </c>
      <c r="F208" s="3"/>
    </row>
    <row r="209" spans="1:6" ht="15.75" thickBot="1" x14ac:dyDescent="0.3">
      <c r="A209" s="2"/>
      <c r="B209" s="2"/>
      <c r="C209" s="2"/>
      <c r="D209" s="3"/>
      <c r="E209" s="3"/>
      <c r="F209" s="118">
        <f>E208</f>
        <v>4680</v>
      </c>
    </row>
    <row r="210" spans="1:6" x14ac:dyDescent="0.25">
      <c r="A210" s="2" t="s">
        <v>114</v>
      </c>
      <c r="B210" s="2"/>
      <c r="C210" s="2"/>
      <c r="D210" s="3"/>
      <c r="E210" s="3"/>
      <c r="F210" s="3"/>
    </row>
    <row r="211" spans="1:6" ht="15.75" thickBot="1" x14ac:dyDescent="0.3">
      <c r="A211" s="2" t="s">
        <v>119</v>
      </c>
      <c r="B211" s="2"/>
      <c r="C211" s="2"/>
      <c r="D211" s="3"/>
      <c r="E211" s="3"/>
      <c r="F211" s="3"/>
    </row>
    <row r="212" spans="1:6" ht="15.75" thickBot="1" x14ac:dyDescent="0.3">
      <c r="A212" s="31" t="s">
        <v>15</v>
      </c>
      <c r="B212" s="32" t="s">
        <v>16</v>
      </c>
      <c r="C212" s="32" t="s">
        <v>10</v>
      </c>
      <c r="D212" s="33" t="s">
        <v>17</v>
      </c>
      <c r="E212" s="33" t="s">
        <v>18</v>
      </c>
      <c r="F212" s="34" t="s">
        <v>19</v>
      </c>
    </row>
    <row r="213" spans="1:6" x14ac:dyDescent="0.25">
      <c r="A213" s="35" t="s">
        <v>120</v>
      </c>
      <c r="B213" s="36" t="s">
        <v>46</v>
      </c>
      <c r="C213" s="36">
        <v>6</v>
      </c>
      <c r="D213" s="37">
        <v>2046.16</v>
      </c>
      <c r="E213" s="37">
        <f>C213*D213</f>
        <v>12276.960000000001</v>
      </c>
      <c r="F213" s="3"/>
    </row>
    <row r="214" spans="1:6" x14ac:dyDescent="0.25">
      <c r="A214" s="35" t="s">
        <v>121</v>
      </c>
      <c r="B214" s="36" t="s">
        <v>46</v>
      </c>
      <c r="C214" s="36">
        <v>2</v>
      </c>
      <c r="D214" s="76"/>
      <c r="E214" s="37"/>
      <c r="F214" s="3"/>
    </row>
    <row r="215" spans="1:6" x14ac:dyDescent="0.25">
      <c r="A215" s="35" t="s">
        <v>122</v>
      </c>
      <c r="B215" s="36" t="s">
        <v>46</v>
      </c>
      <c r="C215" s="36">
        <f>C213*C214</f>
        <v>12</v>
      </c>
      <c r="D215" s="76">
        <v>799</v>
      </c>
      <c r="E215" s="37">
        <f>C215*D215</f>
        <v>9588</v>
      </c>
      <c r="F215" s="3"/>
    </row>
    <row r="216" spans="1:6" x14ac:dyDescent="0.25">
      <c r="A216" s="38" t="s">
        <v>123</v>
      </c>
      <c r="B216" s="39" t="s">
        <v>124</v>
      </c>
      <c r="C216" s="39">
        <f>35000+(C214*25000)</f>
        <v>85000</v>
      </c>
      <c r="D216" s="40">
        <f>E213+E215</f>
        <v>21864.959999999999</v>
      </c>
      <c r="E216" s="40">
        <f>IFERROR(D216/C216,"-")</f>
        <v>0.25723482352941174</v>
      </c>
      <c r="F216" s="3"/>
    </row>
    <row r="217" spans="1:6" ht="15.75" thickBot="1" x14ac:dyDescent="0.3">
      <c r="A217" s="38" t="s">
        <v>125</v>
      </c>
      <c r="B217" s="39" t="s">
        <v>104</v>
      </c>
      <c r="C217" s="39">
        <f>B190</f>
        <v>5200</v>
      </c>
      <c r="D217" s="40">
        <f>E216</f>
        <v>0.25723482352941174</v>
      </c>
      <c r="E217" s="40">
        <f>IFERROR(C217*D217,0)</f>
        <v>1337.6210823529411</v>
      </c>
      <c r="F217" s="3"/>
    </row>
    <row r="218" spans="1:6" ht="15.75" thickBot="1" x14ac:dyDescent="0.3">
      <c r="A218" s="2"/>
      <c r="B218" s="2"/>
      <c r="C218" s="2"/>
      <c r="D218" s="3"/>
      <c r="E218" s="3"/>
      <c r="F218" s="118">
        <f>E217</f>
        <v>1337.6210823529411</v>
      </c>
    </row>
    <row r="219" spans="1:6" ht="15.75" thickBot="1" x14ac:dyDescent="0.3">
      <c r="A219" s="2"/>
      <c r="B219" s="2"/>
      <c r="C219" s="2"/>
      <c r="D219" s="3"/>
      <c r="E219" s="3"/>
      <c r="F219" s="3"/>
    </row>
    <row r="220" spans="1:6" ht="15.75" thickBot="1" x14ac:dyDescent="0.3">
      <c r="A220" s="108" t="s">
        <v>126</v>
      </c>
      <c r="B220" s="114"/>
      <c r="C220" s="114"/>
      <c r="D220" s="96"/>
      <c r="E220" s="115"/>
      <c r="F220" s="112">
        <f>+F162+F178+F186+F204+F209+F218</f>
        <v>29701.750239704132</v>
      </c>
    </row>
    <row r="221" spans="1:6" x14ac:dyDescent="0.25">
      <c r="A221" s="2"/>
      <c r="B221" s="2"/>
      <c r="C221" s="2"/>
      <c r="D221" s="3"/>
      <c r="E221" s="3"/>
      <c r="F221" s="3"/>
    </row>
    <row r="222" spans="1:6" x14ac:dyDescent="0.25">
      <c r="A222" s="1" t="s">
        <v>127</v>
      </c>
      <c r="B222" s="1"/>
      <c r="C222" s="1"/>
      <c r="D222" s="29"/>
      <c r="E222" s="29"/>
      <c r="F222" s="43"/>
    </row>
    <row r="223" spans="1:6" ht="15.75" thickBot="1" x14ac:dyDescent="0.3">
      <c r="A223" s="2"/>
      <c r="B223" s="2"/>
      <c r="C223" s="2"/>
      <c r="D223" s="3"/>
      <c r="E223" s="3"/>
      <c r="F223" s="3"/>
    </row>
    <row r="224" spans="1:6" ht="15.75" thickBot="1" x14ac:dyDescent="0.3">
      <c r="A224" s="31" t="s">
        <v>15</v>
      </c>
      <c r="B224" s="32" t="s">
        <v>16</v>
      </c>
      <c r="C224" s="32" t="s">
        <v>10</v>
      </c>
      <c r="D224" s="33" t="s">
        <v>17</v>
      </c>
      <c r="E224" s="33" t="s">
        <v>18</v>
      </c>
      <c r="F224" s="34" t="s">
        <v>149</v>
      </c>
    </row>
    <row r="225" spans="1:6" x14ac:dyDescent="0.25">
      <c r="A225" s="38" t="s">
        <v>128</v>
      </c>
      <c r="B225" s="39" t="s">
        <v>46</v>
      </c>
      <c r="C225" s="94">
        <v>8.3333333333333329E-2</v>
      </c>
      <c r="D225" s="37">
        <v>40</v>
      </c>
      <c r="E225" s="40">
        <f>C225*D225*2</f>
        <v>6.6666666666666661</v>
      </c>
      <c r="F225" s="60"/>
    </row>
    <row r="226" spans="1:6" x14ac:dyDescent="0.25">
      <c r="A226" s="38" t="s">
        <v>129</v>
      </c>
      <c r="B226" s="39" t="s">
        <v>46</v>
      </c>
      <c r="C226" s="94">
        <v>0.16666666666666666</v>
      </c>
      <c r="D226" s="37">
        <v>37</v>
      </c>
      <c r="E226" s="40">
        <f>C226*D226*2</f>
        <v>12.333333333333332</v>
      </c>
      <c r="F226" s="60"/>
    </row>
    <row r="227" spans="1:6" x14ac:dyDescent="0.25">
      <c r="A227" s="38" t="s">
        <v>130</v>
      </c>
      <c r="B227" s="39" t="s">
        <v>46</v>
      </c>
      <c r="C227" s="95">
        <v>1</v>
      </c>
      <c r="D227" s="37">
        <v>38</v>
      </c>
      <c r="E227" s="40">
        <f>C227*D227*2</f>
        <v>76</v>
      </c>
      <c r="F227" s="60"/>
    </row>
    <row r="228" spans="1:6" ht="15.75" thickBot="1" x14ac:dyDescent="0.3">
      <c r="A228" s="38" t="s">
        <v>131</v>
      </c>
      <c r="B228" s="39" t="s">
        <v>132</v>
      </c>
      <c r="C228" s="94">
        <v>8.3333333333333329E-2</v>
      </c>
      <c r="D228" s="37">
        <v>40</v>
      </c>
      <c r="E228" s="40">
        <f>C228*D228*2</f>
        <v>6.6666666666666661</v>
      </c>
      <c r="F228" s="60"/>
    </row>
    <row r="229" spans="1:6" ht="15.75" thickBot="1" x14ac:dyDescent="0.3">
      <c r="A229" s="1"/>
      <c r="B229" s="1"/>
      <c r="C229" s="1"/>
      <c r="D229" s="1"/>
      <c r="E229" s="29"/>
      <c r="F229" s="118">
        <f>SUM(E225:E228)</f>
        <v>101.66666666666667</v>
      </c>
    </row>
    <row r="230" spans="1:6" ht="15.75" thickBot="1" x14ac:dyDescent="0.3">
      <c r="A230" s="2"/>
      <c r="B230" s="2"/>
      <c r="C230" s="2"/>
      <c r="D230" s="3"/>
      <c r="E230" s="3"/>
      <c r="F230" s="3"/>
    </row>
    <row r="231" spans="1:6" ht="15.75" thickBot="1" x14ac:dyDescent="0.3">
      <c r="A231" s="108" t="s">
        <v>133</v>
      </c>
      <c r="B231" s="114"/>
      <c r="C231" s="114"/>
      <c r="D231" s="96"/>
      <c r="E231" s="115"/>
      <c r="F231" s="112">
        <f>+F229</f>
        <v>101.66666666666667</v>
      </c>
    </row>
    <row r="232" spans="1:6" x14ac:dyDescent="0.25">
      <c r="A232" s="2"/>
      <c r="B232" s="2"/>
      <c r="C232" s="2"/>
      <c r="D232" s="3"/>
      <c r="E232" s="3"/>
      <c r="F232" s="3"/>
    </row>
    <row r="233" spans="1:6" x14ac:dyDescent="0.25">
      <c r="A233" s="1" t="s">
        <v>151</v>
      </c>
      <c r="B233" s="70"/>
      <c r="C233" s="2"/>
      <c r="D233" s="85"/>
      <c r="E233" s="85"/>
      <c r="F233" s="85"/>
    </row>
    <row r="234" spans="1:6" x14ac:dyDescent="0.25">
      <c r="A234" s="1"/>
      <c r="B234" s="70"/>
      <c r="C234" s="2"/>
      <c r="D234" s="85"/>
      <c r="E234" s="85"/>
      <c r="F234" s="85"/>
    </row>
    <row r="235" spans="1:6" ht="15.75" thickBot="1" x14ac:dyDescent="0.3">
      <c r="A235" s="166" t="s">
        <v>15</v>
      </c>
      <c r="B235" s="166" t="s">
        <v>16</v>
      </c>
      <c r="C235" s="166" t="s">
        <v>10</v>
      </c>
      <c r="D235" s="167" t="s">
        <v>17</v>
      </c>
      <c r="E235" s="167" t="s">
        <v>18</v>
      </c>
      <c r="F235" s="168" t="s">
        <v>159</v>
      </c>
    </row>
    <row r="236" spans="1:6" x14ac:dyDescent="0.25">
      <c r="A236" s="161" t="s">
        <v>152</v>
      </c>
      <c r="B236" s="162" t="s">
        <v>21</v>
      </c>
      <c r="C236" s="162">
        <v>1</v>
      </c>
      <c r="D236" s="163">
        <v>2000</v>
      </c>
      <c r="E236" s="164">
        <f>C236*D236</f>
        <v>2000</v>
      </c>
      <c r="F236" s="165"/>
    </row>
    <row r="237" spans="1:6" x14ac:dyDescent="0.25">
      <c r="A237" s="86" t="s">
        <v>153</v>
      </c>
      <c r="B237" s="87" t="s">
        <v>21</v>
      </c>
      <c r="C237" s="87">
        <v>1</v>
      </c>
      <c r="D237" s="88">
        <v>400</v>
      </c>
      <c r="E237" s="158">
        <f>C237*D237</f>
        <v>400</v>
      </c>
      <c r="F237" s="159"/>
    </row>
    <row r="238" spans="1:6" x14ac:dyDescent="0.25">
      <c r="A238" s="86" t="s">
        <v>154</v>
      </c>
      <c r="B238" s="87" t="s">
        <v>21</v>
      </c>
      <c r="C238" s="87">
        <v>1</v>
      </c>
      <c r="D238" s="88">
        <v>200</v>
      </c>
      <c r="E238" s="158">
        <f>C238*D238</f>
        <v>200</v>
      </c>
      <c r="F238" s="159"/>
    </row>
    <row r="239" spans="1:6" ht="15.75" thickBot="1" x14ac:dyDescent="0.3">
      <c r="A239" s="86" t="s">
        <v>155</v>
      </c>
      <c r="B239" s="87" t="s">
        <v>21</v>
      </c>
      <c r="C239" s="87">
        <v>1</v>
      </c>
      <c r="D239" s="88">
        <v>200</v>
      </c>
      <c r="E239" s="158">
        <f>C239*D239</f>
        <v>200</v>
      </c>
      <c r="F239" s="159"/>
    </row>
    <row r="240" spans="1:6" ht="15.75" thickBot="1" x14ac:dyDescent="0.3">
      <c r="A240" s="1" t="s">
        <v>156</v>
      </c>
      <c r="B240" s="70"/>
      <c r="C240" s="2"/>
      <c r="D240" s="85"/>
      <c r="E240" s="85"/>
      <c r="F240" s="160">
        <f>D236+D237+D238+D239</f>
        <v>2800</v>
      </c>
    </row>
    <row r="241" spans="1:6" ht="15.75" thickBot="1" x14ac:dyDescent="0.3">
      <c r="A241" s="1"/>
      <c r="B241" s="70"/>
      <c r="C241" s="2"/>
      <c r="D241" s="85"/>
      <c r="E241" s="85"/>
      <c r="F241" s="124"/>
    </row>
    <row r="242" spans="1:6" ht="15.75" thickBot="1" x14ac:dyDescent="0.3">
      <c r="A242" s="119" t="s">
        <v>160</v>
      </c>
      <c r="B242" s="120"/>
      <c r="C242" s="121"/>
      <c r="D242" s="122"/>
      <c r="E242" s="122"/>
      <c r="F242" s="123">
        <f>F240</f>
        <v>2800</v>
      </c>
    </row>
    <row r="243" spans="1:6" x14ac:dyDescent="0.25">
      <c r="A243" s="1"/>
      <c r="B243" s="70"/>
      <c r="C243" s="2"/>
      <c r="D243" s="85"/>
      <c r="E243" s="85"/>
      <c r="F243" s="89"/>
    </row>
    <row r="244" spans="1:6" x14ac:dyDescent="0.25">
      <c r="A244" s="1" t="s">
        <v>157</v>
      </c>
      <c r="B244" s="1"/>
      <c r="C244" s="1"/>
      <c r="D244" s="29"/>
      <c r="E244" s="29"/>
      <c r="F244" s="43"/>
    </row>
    <row r="245" spans="1:6" ht="15.75" thickBot="1" x14ac:dyDescent="0.3">
      <c r="A245" s="2"/>
      <c r="B245" s="2"/>
      <c r="C245" s="2"/>
      <c r="D245" s="3"/>
      <c r="E245" s="3"/>
      <c r="F245" s="3"/>
    </row>
    <row r="246" spans="1:6" ht="15.75" thickBot="1" x14ac:dyDescent="0.3">
      <c r="A246" s="31" t="s">
        <v>15</v>
      </c>
      <c r="B246" s="169" t="s">
        <v>16</v>
      </c>
      <c r="C246" s="169" t="s">
        <v>10</v>
      </c>
      <c r="D246" s="100" t="s">
        <v>17</v>
      </c>
      <c r="E246" s="33" t="s">
        <v>18</v>
      </c>
      <c r="F246" s="34" t="s">
        <v>19</v>
      </c>
    </row>
    <row r="247" spans="1:6" x14ac:dyDescent="0.25">
      <c r="A247" s="38" t="s">
        <v>134</v>
      </c>
      <c r="B247" s="78" t="s">
        <v>132</v>
      </c>
      <c r="C247" s="90">
        <f>C161</f>
        <v>2</v>
      </c>
      <c r="D247" s="40">
        <v>159.9</v>
      </c>
      <c r="E247" s="40">
        <f>+D247*C247</f>
        <v>319.8</v>
      </c>
      <c r="F247" s="60"/>
    </row>
    <row r="248" spans="1:6" x14ac:dyDescent="0.25">
      <c r="A248" s="38" t="s">
        <v>135</v>
      </c>
      <c r="B248" s="78" t="s">
        <v>21</v>
      </c>
      <c r="C248" s="39">
        <v>60</v>
      </c>
      <c r="D248" s="79">
        <v>343.79</v>
      </c>
      <c r="E248" s="79">
        <f>+D248/C248</f>
        <v>5.7298333333333336</v>
      </c>
      <c r="F248" s="60"/>
    </row>
    <row r="249" spans="1:6" x14ac:dyDescent="0.25">
      <c r="A249" s="38" t="s">
        <v>136</v>
      </c>
      <c r="B249" s="39" t="s">
        <v>46</v>
      </c>
      <c r="C249" s="90">
        <f>+C247</f>
        <v>2</v>
      </c>
      <c r="D249" s="40">
        <v>35</v>
      </c>
      <c r="E249" s="40">
        <f>C249*D249</f>
        <v>70</v>
      </c>
      <c r="F249" s="60"/>
    </row>
    <row r="250" spans="1:6" ht="15.75" thickBot="1" x14ac:dyDescent="0.3">
      <c r="A250" s="38" t="s">
        <v>137</v>
      </c>
      <c r="B250" s="78" t="s">
        <v>21</v>
      </c>
      <c r="C250" s="39">
        <v>1</v>
      </c>
      <c r="D250" s="79">
        <v>75.25</v>
      </c>
      <c r="E250" s="79">
        <f>+D250/C250</f>
        <v>75.25</v>
      </c>
      <c r="F250" s="60"/>
    </row>
    <row r="251" spans="1:6" ht="15.75" thickBot="1" x14ac:dyDescent="0.3">
      <c r="A251" s="80"/>
      <c r="B251" s="80"/>
      <c r="C251" s="80"/>
      <c r="D251" s="45" t="s">
        <v>28</v>
      </c>
      <c r="E251" s="46">
        <f>$B$37</f>
        <v>1</v>
      </c>
      <c r="F251" s="118">
        <f>(E248+E250)*E251</f>
        <v>80.979833333333332</v>
      </c>
    </row>
    <row r="252" spans="1:6" ht="15.75" thickBot="1" x14ac:dyDescent="0.3">
      <c r="A252" s="2"/>
      <c r="B252" s="2"/>
      <c r="C252" s="2"/>
      <c r="D252" s="3"/>
      <c r="E252" s="3"/>
      <c r="F252" s="3"/>
    </row>
    <row r="253" spans="1:6" ht="15.75" thickBot="1" x14ac:dyDescent="0.3">
      <c r="A253" s="108" t="s">
        <v>138</v>
      </c>
      <c r="B253" s="114"/>
      <c r="C253" s="114"/>
      <c r="D253" s="96"/>
      <c r="E253" s="115"/>
      <c r="F253" s="112">
        <f>+F251</f>
        <v>80.979833333333332</v>
      </c>
    </row>
    <row r="254" spans="1:6" ht="15.75" thickBot="1" x14ac:dyDescent="0.3">
      <c r="A254" s="2"/>
      <c r="B254" s="2"/>
      <c r="C254" s="2"/>
      <c r="D254" s="3"/>
      <c r="E254" s="3"/>
      <c r="F254" s="3"/>
    </row>
    <row r="255" spans="1:6" ht="15.75" thickBot="1" x14ac:dyDescent="0.3">
      <c r="A255" s="108" t="s">
        <v>139</v>
      </c>
      <c r="B255" s="109"/>
      <c r="C255" s="109"/>
      <c r="D255" s="110"/>
      <c r="E255" s="111"/>
      <c r="F255" s="53">
        <f>+F108+F142+F220+F231+F242+F253</f>
        <v>75725.315751704125</v>
      </c>
    </row>
    <row r="256" spans="1:6" x14ac:dyDescent="0.25">
      <c r="A256" s="2"/>
      <c r="B256" s="2"/>
      <c r="C256" s="2"/>
      <c r="D256" s="3"/>
      <c r="E256" s="3"/>
      <c r="F256" s="3"/>
    </row>
    <row r="257" spans="1:6" x14ac:dyDescent="0.25">
      <c r="A257" s="1" t="s">
        <v>158</v>
      </c>
      <c r="B257" s="2"/>
      <c r="C257" s="2"/>
      <c r="D257" s="3"/>
      <c r="E257" s="3"/>
      <c r="F257" s="3"/>
    </row>
    <row r="258" spans="1:6" ht="15.75" thickBot="1" x14ac:dyDescent="0.3">
      <c r="A258" s="2"/>
      <c r="B258" s="2"/>
      <c r="C258" s="2"/>
      <c r="D258" s="3"/>
      <c r="E258" s="3"/>
      <c r="F258" s="3"/>
    </row>
    <row r="259" spans="1:6" ht="15.75" thickBot="1" x14ac:dyDescent="0.3">
      <c r="A259" s="31" t="s">
        <v>15</v>
      </c>
      <c r="B259" s="32" t="s">
        <v>16</v>
      </c>
      <c r="C259" s="32" t="s">
        <v>10</v>
      </c>
      <c r="D259" s="33" t="s">
        <v>17</v>
      </c>
      <c r="E259" s="33" t="s">
        <v>18</v>
      </c>
      <c r="F259" s="34" t="s">
        <v>19</v>
      </c>
    </row>
    <row r="260" spans="1:6" ht="15.75" thickBot="1" x14ac:dyDescent="0.3">
      <c r="A260" s="35" t="s">
        <v>140</v>
      </c>
      <c r="B260" s="36" t="s">
        <v>4</v>
      </c>
      <c r="C260" s="40">
        <v>23.22</v>
      </c>
      <c r="D260" s="37">
        <f>+F255</f>
        <v>75725.315751704125</v>
      </c>
      <c r="E260" s="37">
        <f>C260*D260/100</f>
        <v>17583.418317545696</v>
      </c>
      <c r="F260" s="3"/>
    </row>
    <row r="261" spans="1:6" ht="15.75" thickBot="1" x14ac:dyDescent="0.3">
      <c r="A261" s="2"/>
      <c r="B261" s="2"/>
      <c r="C261" s="2"/>
      <c r="D261" s="3"/>
      <c r="E261" s="3"/>
      <c r="F261" s="75">
        <f>+E260</f>
        <v>17583.418317545696</v>
      </c>
    </row>
    <row r="262" spans="1:6" ht="15.75" thickBot="1" x14ac:dyDescent="0.3">
      <c r="A262" s="2"/>
      <c r="B262" s="2"/>
      <c r="C262" s="2"/>
      <c r="D262" s="3"/>
      <c r="E262" s="3"/>
      <c r="F262" s="3"/>
    </row>
    <row r="263" spans="1:6" ht="15.75" thickBot="1" x14ac:dyDescent="0.3">
      <c r="A263" s="108" t="s">
        <v>141</v>
      </c>
      <c r="B263" s="109"/>
      <c r="C263" s="109"/>
      <c r="D263" s="110"/>
      <c r="E263" s="111"/>
      <c r="F263" s="53">
        <f>F261</f>
        <v>17583.418317545696</v>
      </c>
    </row>
    <row r="264" spans="1:6" ht="15.75" thickBot="1" x14ac:dyDescent="0.3">
      <c r="A264" s="1"/>
      <c r="B264" s="1"/>
      <c r="C264" s="1"/>
      <c r="D264" s="29"/>
      <c r="E264" s="29"/>
      <c r="F264" s="43"/>
    </row>
    <row r="265" spans="1:6" ht="15.75" thickBot="1" x14ac:dyDescent="0.3">
      <c r="A265" s="181" t="s">
        <v>15</v>
      </c>
      <c r="B265" s="181" t="s">
        <v>16</v>
      </c>
      <c r="C265" s="188" t="s">
        <v>10</v>
      </c>
      <c r="D265" s="179"/>
      <c r="E265" s="179"/>
      <c r="F265" s="180"/>
    </row>
    <row r="266" spans="1:6" ht="15.75" thickBot="1" x14ac:dyDescent="0.3">
      <c r="A266" s="2"/>
      <c r="B266" s="2"/>
      <c r="C266" s="2"/>
      <c r="D266" s="3"/>
      <c r="E266" s="3"/>
      <c r="F266" s="3"/>
    </row>
    <row r="267" spans="1:6" ht="15.75" thickBot="1" x14ac:dyDescent="0.3">
      <c r="A267" s="108" t="s">
        <v>142</v>
      </c>
      <c r="B267" s="189" t="s">
        <v>40</v>
      </c>
      <c r="C267" s="182"/>
      <c r="D267" s="183"/>
      <c r="E267" s="184"/>
      <c r="F267" s="107">
        <f>F255+F263</f>
        <v>93308.734069249826</v>
      </c>
    </row>
    <row r="268" spans="1:6" ht="15.75" thickBot="1" x14ac:dyDescent="0.3">
      <c r="A268" s="176"/>
      <c r="B268" s="185"/>
      <c r="C268" s="185"/>
      <c r="D268" s="186"/>
      <c r="E268" s="186"/>
      <c r="F268" s="177"/>
    </row>
    <row r="269" spans="1:6" ht="15.75" thickBot="1" x14ac:dyDescent="0.3">
      <c r="A269" s="119" t="s">
        <v>167</v>
      </c>
      <c r="B269" s="181" t="s">
        <v>168</v>
      </c>
      <c r="C269" s="189">
        <v>482.86</v>
      </c>
      <c r="D269" s="187"/>
      <c r="E269" s="187"/>
      <c r="F269" s="178">
        <f>F267/C269</f>
        <v>193.24179693751776</v>
      </c>
    </row>
    <row r="271" spans="1:6" x14ac:dyDescent="0.25">
      <c r="A271" t="s">
        <v>162</v>
      </c>
    </row>
    <row r="277" spans="1:1" x14ac:dyDescent="0.25">
      <c r="A277" s="173" t="s">
        <v>163</v>
      </c>
    </row>
    <row r="278" spans="1:1" x14ac:dyDescent="0.25">
      <c r="A278" s="174" t="s">
        <v>164</v>
      </c>
    </row>
    <row r="279" spans="1:1" x14ac:dyDescent="0.25">
      <c r="A279" s="175" t="s">
        <v>165</v>
      </c>
    </row>
  </sheetData>
  <mergeCells count="13">
    <mergeCell ref="A41:F41"/>
    <mergeCell ref="A1:F1"/>
    <mergeCell ref="A4:F4"/>
    <mergeCell ref="A5:D5"/>
    <mergeCell ref="A10:D10"/>
    <mergeCell ref="A11:C11"/>
    <mergeCell ref="A18:D18"/>
    <mergeCell ref="A26:E26"/>
    <mergeCell ref="A27:D27"/>
    <mergeCell ref="A34:D34"/>
    <mergeCell ref="A2:F2"/>
    <mergeCell ref="A7:D7"/>
    <mergeCell ref="A8:D8"/>
  </mergeCells>
  <hyperlinks>
    <hyperlink ref="A14" location="AbaDeprec" display=" 3.1.1. Depreciação " xr:uid="{BA1A37AF-9361-4887-90F8-632B187A54C5}"/>
    <hyperlink ref="A15" location="AbaRemun" display=" 3.1.2. Remuneração do Capital " xr:uid="{8163077A-F2B1-4323-AF6E-9B418F42132B}"/>
    <hyperlink ref="A148" location="AbaDeprec" display="3.1.1. Depreciação" xr:uid="{704B9DB7-2830-4A6D-97DA-98355E5E162F}"/>
    <hyperlink ref="A164" location="AbaRemun" display="3.1.2. Remuneração do Capital" xr:uid="{E6B2F619-ACFE-4352-99F6-DA0B7D0B7315}"/>
  </hyperlink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5551992070234</cp:lastModifiedBy>
  <cp:lastPrinted>2023-05-18T14:40:33Z</cp:lastPrinted>
  <dcterms:created xsi:type="dcterms:W3CDTF">2023-05-15T17:49:09Z</dcterms:created>
  <dcterms:modified xsi:type="dcterms:W3CDTF">2023-05-31T13:40:33Z</dcterms:modified>
</cp:coreProperties>
</file>