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0400" windowHeight="7545" activeTab="0"/>
  </bookViews>
  <sheets>
    <sheet name="Quadro Quantitativo" sheetId="1" r:id="rId1"/>
    <sheet name="memoria" sheetId="2" r:id="rId2"/>
    <sheet name="Composicoes" sheetId="3" state="hidden" r:id="rId3"/>
    <sheet name="Quadro DMTs" sheetId="4" state="hidden" r:id="rId4"/>
    <sheet name="CRONOGRAMA TOTAL" sheetId="5" state="hidden" r:id="rId5"/>
    <sheet name="Plan2" sheetId="6" state="hidden" r:id="rId6"/>
  </sheets>
  <externalReferences>
    <externalReference r:id="rId9"/>
  </externalReferences>
  <definedNames>
    <definedName name="_xlnm.Print_Area" localSheetId="4">#N/A</definedName>
    <definedName name="_xlnm.Print_Area" localSheetId="3">#N/A</definedName>
    <definedName name="_xlnm.Print_Area" localSheetId="0">'Quadro Quantitativo'!$A$1:$J$203</definedName>
    <definedName name="CONCATENAR" localSheetId="2">#N/A</definedName>
    <definedName name="NCOMPOSICOES">10</definedName>
    <definedName name="ORÇAMENTO.BancoRef" hidden="1">#N/A</definedName>
    <definedName name="REFERENCIA.Descricao" hidden="1">#N/A</definedName>
    <definedName name="TIPOORCAMENTO" hidden="1">IF(VALUE('[1]Menu'!$O$3)=2,"Licitado","Proposto")</definedName>
    <definedName name="TipoOrçamento">"BASE"</definedName>
  </definedNames>
  <calcPr fullCalcOnLoad="1"/>
</workbook>
</file>

<file path=xl/sharedStrings.xml><?xml version="1.0" encoding="utf-8"?>
<sst xmlns="http://schemas.openxmlformats.org/spreadsheetml/2006/main" count="1119" uniqueCount="432">
  <si>
    <t>QUADRO RESUMO DAS DISTÂNCIA MÉDIAS DE TRANSPORTE  -  DMT</t>
  </si>
  <si>
    <t>MATERIAL</t>
  </si>
  <si>
    <t>Terraplenagem</t>
  </si>
  <si>
    <t>Pavimentação</t>
  </si>
  <si>
    <t>Drenagem</t>
  </si>
  <si>
    <t>OAE</t>
  </si>
  <si>
    <t>kmp</t>
  </si>
  <si>
    <t>kmr</t>
  </si>
  <si>
    <t>kmcs</t>
  </si>
  <si>
    <t>Esc. carga e transp 1ª, 2ª e 3ª cat.</t>
  </si>
  <si>
    <t>X</t>
  </si>
  <si>
    <t>Rachão</t>
  </si>
  <si>
    <t>Brita para Base graduada</t>
  </si>
  <si>
    <t>Areia para CBUQ, PMF,...</t>
  </si>
  <si>
    <t>Massa Asfáltica</t>
  </si>
  <si>
    <t>Material Asfáltico</t>
  </si>
  <si>
    <t>Outros</t>
  </si>
  <si>
    <t>opc</t>
  </si>
  <si>
    <t>1 -  No quadro acima estão listadas as principais DMTs.</t>
  </si>
  <si>
    <t xml:space="preserve">2 -  Se existir serviços de Terraplenagem, Pavimentação, Drenagem e OAEs informar DMTs conforme o quadro. </t>
  </si>
  <si>
    <t>3 -  Outros serviços (sinalização, obras complementares,...) devem ser analisados pelo projetista.</t>
  </si>
  <si>
    <t>4 -  Sempre informar se o percurso é em kmp, kmr ou kmcs</t>
  </si>
  <si>
    <t>Legenda</t>
  </si>
  <si>
    <t>Opcional, depende do projeto ou quadro de quantidades</t>
  </si>
  <si>
    <t>Obrigatório, se estiver previsto no projeto ou quadro de quantidades</t>
  </si>
  <si>
    <t>Quilômetro Pavimentado</t>
  </si>
  <si>
    <t>Quilômetro Revestido</t>
  </si>
  <si>
    <t>Quilômetro em caminho de serviço</t>
  </si>
  <si>
    <t>DATA-BASE:</t>
  </si>
  <si>
    <t>RESPONSAVEL TÉCNICO:</t>
  </si>
  <si>
    <t>VISTO DA ADMINISTRAÇÃO:</t>
  </si>
  <si>
    <t>DATA:</t>
  </si>
  <si>
    <t>Unid.</t>
  </si>
  <si>
    <t>Descrição</t>
  </si>
  <si>
    <t>Cód.</t>
  </si>
  <si>
    <t>Item</t>
  </si>
  <si>
    <t>1.1</t>
  </si>
  <si>
    <t>1.2</t>
  </si>
  <si>
    <t>2.5</t>
  </si>
  <si>
    <t>ESTUDO TOPOGRÁFICO DE RELOCAÇÃO (LOCAÇÃO E NIVELAMENTO)</t>
  </si>
  <si>
    <t>1.3</t>
  </si>
  <si>
    <t>5.3</t>
  </si>
  <si>
    <t>FAIXAS ELEVADAS DE PEDESTRE</t>
  </si>
  <si>
    <t>SINALIZAÇÃO HORIZONTAL</t>
  </si>
  <si>
    <t>ENSAIOS TECNOLOGICOS</t>
  </si>
  <si>
    <t>ENSAIO MARSHALL - MISTURA BETUMINOSA A QUENTE</t>
  </si>
  <si>
    <t>SINALIZACAO HORIZONTAL COM TINTA RETRORREFLETIVA A BASE DE RESINA ACRILICA COM MICROESFERAS DE VIDRO - AMARELO EIXO DA PISTA</t>
  </si>
  <si>
    <t>TACHÃO AMARELO BIDIRECIONAL - AMARELO EIXO DA PISTA</t>
  </si>
  <si>
    <t>7753</t>
  </si>
  <si>
    <t>Helmesona de O. Santana - Engª Civil - CREA RS152843 - DT SMPMA</t>
  </si>
  <si>
    <t>7.4</t>
  </si>
  <si>
    <t>7.3</t>
  </si>
  <si>
    <t>M2</t>
  </si>
  <si>
    <t>TON</t>
  </si>
  <si>
    <t/>
  </si>
  <si>
    <t>UN</t>
  </si>
  <si>
    <t>PINTURA DE LIGACAO COM EMULSAO RR-1C. EXCLUSIVE MATERIAL</t>
  </si>
  <si>
    <t>3.1</t>
  </si>
  <si>
    <t>3.2</t>
  </si>
  <si>
    <t>3.3</t>
  </si>
  <si>
    <t>3.4</t>
  </si>
  <si>
    <t>2.1</t>
  </si>
  <si>
    <t>4.1</t>
  </si>
  <si>
    <t>5.1</t>
  </si>
  <si>
    <t>2.2</t>
  </si>
  <si>
    <t>2.3</t>
  </si>
  <si>
    <t>2.4</t>
  </si>
  <si>
    <t>2.6</t>
  </si>
  <si>
    <t>2.7</t>
  </si>
  <si>
    <t>4.2</t>
  </si>
  <si>
    <t>5.2</t>
  </si>
  <si>
    <t>Prefeitura Municipal de Caçapava do Sul</t>
  </si>
  <si>
    <t>Projeto:</t>
  </si>
  <si>
    <t>Data base:</t>
  </si>
  <si>
    <t>DESCRIÇÃO</t>
  </si>
  <si>
    <t>MESES DE EXECUÇÃO</t>
  </si>
  <si>
    <t>1º</t>
  </si>
  <si>
    <t>2º</t>
  </si>
  <si>
    <t>3º</t>
  </si>
  <si>
    <t>4º</t>
  </si>
  <si>
    <t>5º</t>
  </si>
  <si>
    <t>valor</t>
  </si>
  <si>
    <t>%</t>
  </si>
  <si>
    <t>vlr</t>
  </si>
  <si>
    <t>Total</t>
  </si>
  <si>
    <t>Subtotal:</t>
  </si>
  <si>
    <t>Valor dos Serviços</t>
  </si>
  <si>
    <t>Total Acumulado</t>
  </si>
  <si>
    <t>__________________________________</t>
  </si>
  <si>
    <t>Maio 2017</t>
  </si>
  <si>
    <t>AV JOÃO MANOEL DE LIMA E SILVA: Entr. Rua Retaxerxes Pires Machado - Entr. R. Cel. João Guedes</t>
  </si>
  <si>
    <t>Caçapava do Sul-RS, 08 de março de 2018</t>
  </si>
  <si>
    <t>Helmesona de O. Santana - Eng.ª Civil CREA RS152843</t>
  </si>
  <si>
    <t>Giovani Amestoy da Silva - Prefeito Municipal</t>
  </si>
  <si>
    <t>UNID</t>
  </si>
  <si>
    <t>VB</t>
  </si>
  <si>
    <t>ML</t>
  </si>
  <si>
    <t>CRONOGRAMA FÍSICO FINANCEIRO</t>
  </si>
  <si>
    <t>SERVIÇOS PRELIMINARES</t>
  </si>
  <si>
    <t>H</t>
  </si>
  <si>
    <t>Valor Total</t>
  </si>
  <si>
    <t>Quant. Total</t>
  </si>
  <si>
    <t>PLACA DE SINALIZAÇÃO DE OBRA (2,00 x 1,25 m)</t>
  </si>
  <si>
    <t>REPERFILAGEM</t>
  </si>
  <si>
    <t>7.1</t>
  </si>
  <si>
    <t>7.2</t>
  </si>
  <si>
    <t>7.5</t>
  </si>
  <si>
    <t>7.6</t>
  </si>
  <si>
    <t>7.7</t>
  </si>
  <si>
    <t>10.1</t>
  </si>
  <si>
    <t>10.2</t>
  </si>
  <si>
    <t>10.3</t>
  </si>
  <si>
    <t>11.2</t>
  </si>
  <si>
    <t>SUBTOTAL DO ORÇAMENTO</t>
  </si>
  <si>
    <t>SERVIÇOS COMPLEMENTARES</t>
  </si>
  <si>
    <t>Preço Unitário</t>
  </si>
  <si>
    <t>sem BDI</t>
  </si>
  <si>
    <t>Fonte</t>
  </si>
  <si>
    <t>74209/001</t>
  </si>
  <si>
    <t>SINAPI</t>
  </si>
  <si>
    <t>DAER-RS</t>
  </si>
  <si>
    <t>72942</t>
  </si>
  <si>
    <t>ANP RS</t>
  </si>
  <si>
    <t>TRANSPORTE DE MATERIAL ASFALTICO, COM CAMINHÃO COM CAPACIDADE DE 30000 L EM RODOVIA PAVIMENTADA PARA DISTÂNCIAS MÉDIAS DE TRANSPORTE SUPERIORES A 100 KM. AF_02/2016</t>
  </si>
  <si>
    <t>M3</t>
  </si>
  <si>
    <t>TONxKM</t>
  </si>
  <si>
    <t>com BDI</t>
  </si>
  <si>
    <t>2.8</t>
  </si>
  <si>
    <t>6.1</t>
  </si>
  <si>
    <t>BDI DAER-RS:</t>
  </si>
  <si>
    <t>BDI SINAPI:</t>
  </si>
  <si>
    <t>CONSTRUÇÃO DE PAVIMENTO COM APLICAÇÃO DE CONCRETO BETUMINOSO USINADO A QUENTE (CBUQ), CAMADA DE ROLAMENTO, ESPESSURA DE 4,0 CM - S/ TRANSP.</t>
  </si>
  <si>
    <t>7.8</t>
  </si>
  <si>
    <t>8.1</t>
  </si>
  <si>
    <t>8.2</t>
  </si>
  <si>
    <t>8.3</t>
  </si>
  <si>
    <t>8.4</t>
  </si>
  <si>
    <t>9.2</t>
  </si>
  <si>
    <t>9.3</t>
  </si>
  <si>
    <t>FABRICAÇÃO, MONTAGEM E DESMONTAGEM DE FORMA PARA RADIER, EM MADEIRA SERRADA, 4 UTILIZAÇÕES. AF_09/2017</t>
  </si>
  <si>
    <t>SINAPI-I</t>
  </si>
  <si>
    <t>CONCRETAGEM DE RADIER, PISO OU LAJE SOBRE SOLO, FCK 30 MPA, PARA ESPESSURA DE 10 CM - LANÇAMENTO, ADENSAMENTO E ACABAMENTO. AF_09/2017</t>
  </si>
  <si>
    <t>ADUELA/GALERIA DE CONCRETO ARMADO, SECAO RETANGULAR 2.00 X 2.00 M (L X A), C = 1.00 M, E = 20 CM</t>
  </si>
  <si>
    <t>BDI FORNEC. MATERIAL:</t>
  </si>
  <si>
    <t>Encargos sociais incluídos nos custos unitários 70,28% (mensalistas).</t>
  </si>
  <si>
    <t>SINALIZACAO HORIZONTAL COM TINTA RETRORREFLETIVA A BASE DE RESINA ACRILICA COM MICROESFERAS DE VIDRO - BRANCO FAIXA DE SEGURANÇA ELEVADA E NIVEL</t>
  </si>
  <si>
    <t>CUSTO UNIT</t>
  </si>
  <si>
    <t>FONTE</t>
  </si>
  <si>
    <t>CÓDIGO</t>
  </si>
  <si>
    <t>UNIDADE</t>
  </si>
  <si>
    <t>COEFIC.</t>
  </si>
  <si>
    <t>DESONERADO</t>
  </si>
  <si>
    <t>NÃO DESONER.</t>
  </si>
  <si>
    <t>PMCS-CP</t>
  </si>
  <si>
    <t>M</t>
  </si>
  <si>
    <t>88316</t>
  </si>
  <si>
    <t>004</t>
  </si>
  <si>
    <t>005</t>
  </si>
  <si>
    <t>006</t>
  </si>
  <si>
    <t>95993</t>
  </si>
  <si>
    <t>1518</t>
  </si>
  <si>
    <t>5835</t>
  </si>
  <si>
    <t>5837</t>
  </si>
  <si>
    <t>88314</t>
  </si>
  <si>
    <t>91386</t>
  </si>
  <si>
    <t>95631</t>
  </si>
  <si>
    <t>95632</t>
  </si>
  <si>
    <t>96155</t>
  </si>
  <si>
    <t>96157</t>
  </si>
  <si>
    <t>96463</t>
  </si>
  <si>
    <t>96464</t>
  </si>
  <si>
    <t>41899</t>
  </si>
  <si>
    <t>41905</t>
  </si>
  <si>
    <t>83362</t>
  </si>
  <si>
    <t>96013</t>
  </si>
  <si>
    <t>96014</t>
  </si>
  <si>
    <t>93176</t>
  </si>
  <si>
    <t>93596</t>
  </si>
  <si>
    <t>72947</t>
  </si>
  <si>
    <t>73817/2</t>
  </si>
  <si>
    <t>95875</t>
  </si>
  <si>
    <t>97086</t>
  </si>
  <si>
    <t>85662</t>
  </si>
  <si>
    <t>97094</t>
  </si>
  <si>
    <t>SINAPI-i</t>
  </si>
  <si>
    <t>37478</t>
  </si>
  <si>
    <t>78472</t>
  </si>
  <si>
    <t>ARMACAO EM TELA DE ACO SOLDADA NERVURADA Q-92, ACO CA-60, 4,2MM, MALHA 15X15CM</t>
  </si>
  <si>
    <t>Data</t>
  </si>
  <si>
    <t>Responsável Técnico:</t>
  </si>
  <si>
    <t>CREA/CAU:</t>
  </si>
  <si>
    <t>TXKM</t>
  </si>
  <si>
    <t>SERVENTE COM ENCARGOS COMPLEMENTARES</t>
  </si>
  <si>
    <t xml:space="preserve">KG    </t>
  </si>
  <si>
    <t xml:space="preserve">UN    </t>
  </si>
  <si>
    <t>CONCRETO BETUMINOSO USINADO A QUENTE (CBUQ) PARA PAVIMENTACAO ASFALTICA, PADRAO DNIT, FAIXA C, COM CAP 50/70 - AQUISICAO POSTO USINA</t>
  </si>
  <si>
    <t xml:space="preserve">T     </t>
  </si>
  <si>
    <t>VIBROACABADORA DE ASFALTO SOBRE ESTEIRAS, LARGURA DE PAVIMENTAÇÃO 1,90 M A 5,30 M, POTÊNCIA 105 HP CAPACIDADE 450 T/H - CHP DIURNO. AF_11/2014</t>
  </si>
  <si>
    <t>CHP</t>
  </si>
  <si>
    <t>VIBROACABADORA DE ASFALTO SOBRE ESTEIRAS, LARGURA DE PAVIMENTAÇÃO 1,90 M A 5,30 M, POTÊNCIA 105 HP CAPACIDADE 450 T/H - CHI DIURNO. AF_11/2014</t>
  </si>
  <si>
    <t>CHI</t>
  </si>
  <si>
    <t>RASTELEIRO COM ENCARGOS COMPLEMENTARES</t>
  </si>
  <si>
    <t>CAMINHÃO BASCULANTE 10 M3, TRUCADO CABINE SIMPLES, PESO BRUTO TOTAL 23.000 KG, CARGA ÚTIL MÁXIMA 15.935 KG, DISTÂNCIA ENTRE EIXOS 4,80 M, POTÊNCIA 230 CV INCLUSIVE CAÇAMBA METÁLICA - CHP DIURNO. AF_06/2014</t>
  </si>
  <si>
    <t>ROLO COMPACTADOR VIBRATORIO TANDEM, ACO LISO, POTENCIA 125 HP, PESO SEM/COM LASTRO 10,20/11,65 T, LARGURA DE TRABALHO 1,73 M - CHP DIURNO. AF_11/2016</t>
  </si>
  <si>
    <t>ROLO COMPACTADOR VIBRATORIO TANDEM, ACO LISO, POTENCIA 125 HP, PESO SEM/COM LASTRO 10,20/11,65 T, LARGURA DE TRABALHO 1,73 M - CHI DIURNO. AF_11/2016</t>
  </si>
  <si>
    <t>TRATOR DE PNEUS COM POTÊNCIA DE 85 CV, TRAÇÃO 4X4, COM VASSOURA MECÂNICA ACOPLADA - CHI DIURNO. AF_02/2017</t>
  </si>
  <si>
    <t>TRATOR DE PNEUS COM POTÊNCIA DE 85 CV, TRAÇÃO 4X4, COM VASSOURA MECÂNICA ACOPLADA - CHP DIURNO. AF_03/2017</t>
  </si>
  <si>
    <t>ROLO COMPACTADOR DE PNEUS, ESTATICO, PRESSAO VARIAVEL, POTENCIA 110 HP, PESO SEM/COM LASTRO 10,8/27 T, LARGURA DE ROLAGEM 2,30 M - CHP DIURNO. AF_06/2017</t>
  </si>
  <si>
    <t>ROLO COMPACTADOR DE PNEUS, ESTATICO, PRESSAO VARIAVEL, POTENCIA 110 HP, PESO SEM/COM LASTRO 10,8/27 T, LARGURA DE ROLAGEM 2,30 M - CHI DIURNO. AF_06/2017</t>
  </si>
  <si>
    <t>CIMENTO ASFALTICO DE PETROLEO A GRANEL (CAP) 50/70 (COLETADO CAIXA NA ANP ACRESCIDO DE ICMS)</t>
  </si>
  <si>
    <t>EMULSAO ASFALTICA CATIONICA RR-1C PARA USO EM PAVIMENTACAO ASFALTICA (COLETADO CAIXA NA ANP ACRESCIDO DE ICMS)</t>
  </si>
  <si>
    <t>ESPARGIDOR DE ASFALTO PRESSURIZADO, TANQUE 6 M3 COM ISOLAÇÃO TÉRMICA, AQUECIDO COM 2 MAÇARICOS, COM BARRA ESPARGIDORA 3,60 M, MONTADO SOBRE CAMINHÃO  TOCO, PBT 14.300 KG, POTÊNCIA 185 CV - CHP DIURNO. AF_08/2015</t>
  </si>
  <si>
    <t>TRATOR DE PNEUS COM POTÊNCIA DE 122 CV, TRAÇÃO 4X4, COM VASSOURA MECÂNICA ACOPLADA - CHP DIURNO. AF_02/2017</t>
  </si>
  <si>
    <t>TRATOR DE PNEUS COM POTÊNCIA DE 122 CV, TRAÇÃO 4X4, COM VASSOURA MECÂNICA ACOPLADA - CHI DIURNO. AF_02/2017</t>
  </si>
  <si>
    <t>TRANSPORTE COM CAMINHÃO BASCULANTE DE 10 M3, EM VIA URBANA PAVIMENTADA, DMT ACIMA DE 30 KM (UNIDADE: TXKM). AF_04/2016</t>
  </si>
  <si>
    <t>SINALIZACAO HORIZONTAL COM TINTA RETRORREFLETIVA A BASE DE RESINA ACRILICA COM MICROESFERAS DE VIDRO</t>
  </si>
  <si>
    <t>EMBASAMENTO DE MATERIAL GRANULAR - RACHAO</t>
  </si>
  <si>
    <t>TRANSPORTE COM CAMINHÃO BASCULANTE DE 10 M3, EM VIA URBANA PAVIMENTADA, DMT ATÉ 30 KM (UNIDADE: M3XKM). AF_12/2016</t>
  </si>
  <si>
    <t>M3XKM</t>
  </si>
  <si>
    <t>SERVICOS TOPOGRAFICOS PARA PAVIMENTACAO, INCLUSIVE NOTA DE SERVICOS, ACOMPANHAMENTO E GREIDE</t>
  </si>
  <si>
    <t>Faixa (m):</t>
  </si>
  <si>
    <t>Extensão (m):</t>
  </si>
  <si>
    <t>SICRO</t>
  </si>
  <si>
    <t>OAE - CONCRETO ARMADO/PROTENDIDO (TRANSPOSIÇÃO SOBRE A GALERIA EXISTENTE)</t>
  </si>
  <si>
    <t>REDE DE DRENAGEM PLUVIAL - DN 600 PA-2 (RAMAIS DE BOCA DE LOBO)</t>
  </si>
  <si>
    <t>6.2</t>
  </si>
  <si>
    <t>6.3</t>
  </si>
  <si>
    <t>6.4</t>
  </si>
  <si>
    <t>6.5</t>
  </si>
  <si>
    <t>6.6</t>
  </si>
  <si>
    <t>73790/004</t>
  </si>
  <si>
    <t>6.7</t>
  </si>
  <si>
    <t>REASSENTAMENTO DE PARALELEPIPEDO SOBRE COLCHÃO DE PÓ DE PEDRA, ESPESSURA 10CM, REJUNTADO COM ARGAMASSA TRAÇO 1:3 (CIMENTO E AREIA), CONSIDERANDO REAPROVEITAMENTO DO MATERIAL</t>
  </si>
  <si>
    <t>SINAPI - JULHO 2019</t>
  </si>
  <si>
    <t>A - AV. BENJAMIN CONSTANT</t>
  </si>
  <si>
    <t>B - AV. PRESIDENTE KENNEDY</t>
  </si>
  <si>
    <t>D - RUA GENERAL OSÓRIO</t>
  </si>
  <si>
    <t>SERVIÇOS GERAIS E PRELIMINARES</t>
  </si>
  <si>
    <t>1.4</t>
  </si>
  <si>
    <t>90778</t>
  </si>
  <si>
    <t>ENGENHEIRO CIVIL DE OBRA PLENO COM ENCARGOS COMPLEMENTARES</t>
  </si>
  <si>
    <t>DATA BASE / REFERÊNCIA SEM DESONERAÇÃO</t>
  </si>
  <si>
    <t>SINALIZACAO HORIZONTAL COM TINTA RETRORREFLETIVA A BASE DE RESINA ACRILICA COM MICROESFERAS DE VIDRO - BRANCO FAIXAS DE PARADA E SETAS</t>
  </si>
  <si>
    <t>CONSTRUÇÃO DE PAVIMENTO COM APLICAÇÃO DE CONCRETO BETUMINOSO USINADO A QUENTE (CBUQ), CAMADA DE ROLAMENTO, ESPESSURA DE 5,0 CM - S/ TRANSP.</t>
  </si>
  <si>
    <t>REDE DE DRENAGEM PLUVIAL - DN 800 PA-2 (VAI ATÉ A REDE EXISTENTE/PROJETADA)</t>
  </si>
  <si>
    <t>5.4</t>
  </si>
  <si>
    <t>CONSULTA SERVIÇOS DIVERSOS - TRANSPORTE</t>
  </si>
  <si>
    <t>73790/4</t>
  </si>
  <si>
    <t>CONSULTA SERVIÇOS DIVERSOS - TRANSPOSIÇÃO DE GALERIA PLUVIAL</t>
  </si>
  <si>
    <t>94114</t>
  </si>
  <si>
    <t>007</t>
  </si>
  <si>
    <t>CONSULTA SERVIÇOS DIVERSOS - SERVIÇOS GERAIS E PRELIMINARES</t>
  </si>
  <si>
    <t>74209/1</t>
  </si>
  <si>
    <t>008</t>
  </si>
  <si>
    <t>CONSULTA SERVIÇOS DIVERSOS - SINALIZAÇÃO</t>
  </si>
  <si>
    <t>Helmesona de O. Santana</t>
  </si>
  <si>
    <t>RS152843</t>
  </si>
  <si>
    <t>REASSENTAMENTO DE PARALELEPIPEDO SOBRE COLCHAO DE PO DE PEDRA ESPESSURA 10CM, REJUNTADO COM ARGAMASSA TRACO 1:3 (CIMENTO E AREIA), CONSIDERANDO APROVEITAMENTO DO PARALELEPIPEDO</t>
  </si>
  <si>
    <t>LASTRO DE VALA COM PREPARO DE FUNDO, LARGURA MENOR QUE 1,5 M, COM CAMADA DE BRITA, LANÇAMENTO MECANIZADO, EM LOCAL COM NÍVEL ALTO DE INTERFERÊNCIA. AF_06/2016</t>
  </si>
  <si>
    <t>PLACA DE OBRA EM CHAPA DE ACO GALVANIZADO</t>
  </si>
  <si>
    <t>COMPOSIÇÕES DE CUSTO</t>
  </si>
  <si>
    <t>CONSTRUÇÃO DE PAVIMENTO COM APLICAÇÃO DE CONCRETO BETUMINOSO USINADO A QUENTE (CBUQ), CAMADA DE REGULARIZAÇÃO, ESPESSURA DE 2,5 CM - S/ TRANSP.</t>
  </si>
  <si>
    <t>CONSTRUÇÃO DE PAVIMENTO COM APLICAÇÃO DE CONCRETO BETUMINOSO USINADO A QUENTE (CBUQ), CAMADA DE REGULARIZAÇÃO, ESPESSURA DE 3,0 CM - S/ TRANSP.</t>
  </si>
  <si>
    <t>10.4</t>
  </si>
  <si>
    <t>EMULSÃO RR-1C - 0,5 KG/M2  - DUAS CAMADAS (BDI 15%) (ICMS 18%)</t>
  </si>
  <si>
    <t>PINTURA DE LIGACAO COM EMULSAO RR-1C. DUAS CAMADAS. EXCLUSIVE MATERIAL</t>
  </si>
  <si>
    <t>2.9</t>
  </si>
  <si>
    <t>CARGA, MANOBRAS E DESCARGA DE MISTURA BETUMINOSA A QUENTE, COM CAMINHAO BASCULANTE 6 M3, DESCARGA EM VIBRO-ACABADORA</t>
  </si>
  <si>
    <t>TRANSPORTE MASSA ASFÁLTICA (Xp=105 km) (BDI 15%)</t>
  </si>
  <si>
    <t>M3xKM</t>
  </si>
  <si>
    <t>CIMENTO ASFÁLTICO CAP 50/70 - TAXA DE 6,0% (BDI 15%) (ICMS 18%) DENSIDADE 2,5548 TON/M3</t>
  </si>
  <si>
    <t>3.5</t>
  </si>
  <si>
    <t>TRANSPORTE DE MATERIAL ASFALTICO (BDI 15%) (Xp=305 KM)</t>
  </si>
  <si>
    <t>TRANSPORTE DE MATERIAL ASFÁLTICO (BDI=15%) (KMP 305KM)</t>
  </si>
  <si>
    <t>ENSAIO DE DETERMINACAO DO TEOR DE ASFALTO COM GRANULOMETRIA - CBUQ PISTA</t>
  </si>
  <si>
    <t>E1065</t>
  </si>
  <si>
    <t>REMOÇÃO DE PARALELEPIPEDO, INCLUSIVE TRANSPORTE</t>
  </si>
  <si>
    <t>6.8</t>
  </si>
  <si>
    <t>6.9</t>
  </si>
  <si>
    <t>BOCA DE LOBO SIMPLES COM GRELHA DE CONCRETO - BLS07</t>
  </si>
  <si>
    <t>BOCA DE LOBO DUPLA COM GRELHA DE CONCRETO - BLD07</t>
  </si>
  <si>
    <t>PAVIMENTO EM PARALELEPIPEDO SOBRE COLCHAO DE AREIA REJUNTADO COM ARGAMASSA DE CIMENTO E AREIA NO TRAÇO 1:3 (PEDRAS PEQUENAS 30 A 35 PECAS POR M2)</t>
  </si>
  <si>
    <t>LASTRO DE BRITA PARA BUEIRO, COM BRITA COMERCIAL</t>
  </si>
  <si>
    <t>REATERRO DE VALAS BUEIROS COM BRITA - INCLUSIVE TRANSPORTE</t>
  </si>
  <si>
    <t>6.10</t>
  </si>
  <si>
    <t>6.11</t>
  </si>
  <si>
    <t>TRANSPORTE EM CAMINHÃO BASCULANTE 10M3 BOTA-FORA - DMT 10KM - VIA URBANA PAV.</t>
  </si>
  <si>
    <t>3.6</t>
  </si>
  <si>
    <t>TUBO PVC  SERIE NORMAL, DN 100 MM, PARA ESGOTO PLUVIAL</t>
  </si>
  <si>
    <t>EMULSÃO RR-1C - 0,5 KG/M2. DUAS CAMADAS. (BDI 15%) (ICMS 18%)</t>
  </si>
  <si>
    <t>TRANSPORTE MASSA ASFÁLTICA - (Xp=105 km) (BDI 15%)</t>
  </si>
  <si>
    <t>CONSTRUÇÃO DE PAVIMENTO COM APLICAÇÃO DE CONCRETO BETUMINOSO USINADO A QUENTE (CBUQ), CAMADA DE ROLAMENTO, ESPESSURA MÉDIA DE 15,0 CM - S/ TRANSP.</t>
  </si>
  <si>
    <t>DAER-RS - MAIO 2019</t>
  </si>
  <si>
    <t>CMG</t>
  </si>
  <si>
    <t>REDE DE DRENAGEM PLUVIAL - DN 800 PA-2</t>
  </si>
  <si>
    <t>ESCAVAÇÃO MECÂNICA DE VALAS 1ª CATEGORIA BUEIROS</t>
  </si>
  <si>
    <t>TUBO DE CONCRETO PARA REDES COLETORAS DE ESGOTO SANITÁRIO, EA-2 DIÂMETRO DE 600 MM, JUNTA ELÁSTICA, INSTALADO EM LOCAL COM ALTO NÍVEL DE INTERFERÊNCIA</t>
  </si>
  <si>
    <t>LASTRO DE CONCRETO MAGRO</t>
  </si>
  <si>
    <t>6.12</t>
  </si>
  <si>
    <t>6.13</t>
  </si>
  <si>
    <t>6.14</t>
  </si>
  <si>
    <t>6.15</t>
  </si>
  <si>
    <t>EMULSÃO RR-1C - 0,5 KG/M2 - DUAS CAMADAS (BDI 15%) (ICMS 18%)</t>
  </si>
  <si>
    <t>TRANSPORTE DE MATERIAL ASFÁLTICO (BDI 15%) (Xp=305 KM)</t>
  </si>
  <si>
    <t xml:space="preserve">CONSTRUÇÃO DE PAVIMENTO COM APLICAÇÃO DE CONCRETO BETUMINOSO USINADO A QUENTE (CBUQ), CAMADA DE ROLAMENTO, ESPESSURA DE 4,0 CM - S/ TRANSP. </t>
  </si>
  <si>
    <t>7.9</t>
  </si>
  <si>
    <t>EMULSÃO RR-1C - 0,5 KG/M2 - DUAS CAMADAS - (BDI 15%) (ICMS 18%)</t>
  </si>
  <si>
    <t>TRANSPORTE DE MATERIAL ASFALTICO (BDI=15%) (KMP 305KM)</t>
  </si>
  <si>
    <t>TRANSPORTE DE MASSA ASFÁLTICA (Xp=105 km) (BDI 15%)</t>
  </si>
  <si>
    <t>MOBILIZAÇÃO E DESMOBILIZAÇÃO (5 VIAGENS DMT 5KM - CAVALO MECÂNICO) (BDI 32,90%)</t>
  </si>
  <si>
    <t>ALTERADA</t>
  </si>
  <si>
    <t>72891</t>
  </si>
  <si>
    <t>95303</t>
  </si>
  <si>
    <t>CONSULTA SERVIÇOS DIVERSOS - PAVIMENTAÇÃO PARALELEPIPEDO</t>
  </si>
  <si>
    <t>72799</t>
  </si>
  <si>
    <t>95990</t>
  </si>
  <si>
    <t>CONSTRUÇÃO DE PAVIMENTO COM APLICAÇÃO DE CONCRETO BETUMINOSO USINADO A QUENTE (CBUQ), CAMADA DE ROLAMENTO, COM ESPESSURA DE 3,0 CM - EXCLUSIVE TRANSPORTE. AF_03/2017</t>
  </si>
  <si>
    <t>2,5548000</t>
  </si>
  <si>
    <t>0,0773000</t>
  </si>
  <si>
    <t>0,1581000</t>
  </si>
  <si>
    <t>1,8834000</t>
  </si>
  <si>
    <t>0,1118000</t>
  </si>
  <si>
    <t>0,1236000</t>
  </si>
  <si>
    <t>0,1785000</t>
  </si>
  <si>
    <t>0,0569000</t>
  </si>
  <si>
    <t>0,0582000</t>
  </si>
  <si>
    <t>0,4126000</t>
  </si>
  <si>
    <t>SERVIÇOS DIVERSOS - REDE PLUVIAL E CLOACAL</t>
  </si>
  <si>
    <t>90099</t>
  </si>
  <si>
    <t>92856</t>
  </si>
  <si>
    <t>92855</t>
  </si>
  <si>
    <t>7774</t>
  </si>
  <si>
    <t>94968</t>
  </si>
  <si>
    <t>TRANSPORTE COM CAMINHÃO BASCULANTE 10 M3 DE MASSA ASFALTICA PARA PAVIMENTAÇÃO URBANA</t>
  </si>
  <si>
    <t>ESCAVAÇÃO MECANIZADA DE VALA COM PROF. ATÉ 1,5 M (MÉDIA ENTRE MONTANTE E JUSANTE/UMA COMPOSIÇÃO POR TRECHO), COM RETROESCAVADEIRA (0,26 M3/88 HP), LARG. MENOR QUE 0,8 M, EM SOLO DE 1A CATEGORIA, EM LOCAIS COM ALTO NÍVEL DE INTERFERÊNCIA. AF_01/2015</t>
  </si>
  <si>
    <t>ASSENTAMENTO DE TUBO DE CONCRETO PARA REDES COLETORAS DE ESGOTO SANITÁRIO, DIÂMETRO DE 600 MM, JUNTA ELÁSTICA, INSTALADO EM LOCAL COM ALTO NÍVEL DE INTERFERÊNCIAS (NÃO INCLUI FORNECIMENTO). AF_12/2015</t>
  </si>
  <si>
    <t>TUBO DE CONCRETO PARA REDES COLETORAS DE ESGOTO SANITÁRIO, DIÂMETRO DE 600 MM, JUNTA ELÁSTICA, INSTALADO EM LOCAL COM ALTO NÍVEL DE INTERFERÊNCIAS - FORNECIMENTO E ASSENTAMENTO. AF_12/2015</t>
  </si>
  <si>
    <t>TUBO CONCRETO ARMADO, CLASSE EA-2, PB JE, DN 600 MM, PARA ESGOTO SANITARIO (NBR 8890)</t>
  </si>
  <si>
    <t xml:space="preserve">M     </t>
  </si>
  <si>
    <t>CONCRETO MAGRO PARA LASTRO, TRAÇO 1:4,5:4,5 (CIMENTO/ AREIA MÉDIA/ BRITA 1)  - PREPARO MECÂNICO COM BETONEIRA 600 L. AF_07/2016</t>
  </si>
  <si>
    <t>SERVIÇOS COMPLEMENTARES DE DRENAGEM PLUVIAL</t>
  </si>
  <si>
    <t xml:space="preserve"> </t>
  </si>
  <si>
    <t>ESCAVAÇÃO MECANIZADA DE VALA COM PROF. MAIOR QUE 1,5 M ATÉ 3,0 M (MÉDIA ENTRE MONTANTE E JUSANTE/UMA COMPOSIÇÃO POR TRECHO), COM ESCAVADEIRA HIDRÁULICA (0,8 M3/111 HP), LARG. DE 1,5 M A 2,5 M, EM SOLO DE 1A CATEGORIA, EM LOCAIS COM ALTO NÍVEL DE INTERFERÊNCIA. AF_01/2015</t>
  </si>
  <si>
    <t>ESCAVAÇÃO MECANICA DE VALAS 3ª CATEGORIA BUEIROS</t>
  </si>
  <si>
    <t>73817/002</t>
  </si>
  <si>
    <t>EMBASAMENTO COM MATERIAL GRANULAR - RACHÃO</t>
  </si>
  <si>
    <t>CONCRETO USINADO CONVENCIONAL (NAO BOMBEAVEL) CLASSE DE RESISTENCIA C15, COM BRITA 1 E 2, SLUMP = 80 MM +/- 10 MM (NBR 8953)</t>
  </si>
  <si>
    <t>CAVALO MECÂNICO 6 x 4, ESTRADEIRO, PBT 26.000 kg -</t>
  </si>
  <si>
    <t>REATERRO MECANIZADO DE VALA COM ESCAVADEIRA HIDRÁULICA (CAPACIDADE DA CAÇAMBA: 0,8 M³ / POTÊNCIA: 111 HP), LARGURA DE 1,5 A 2,5 M, PROFUNDIDADE DE 1,5 A 3,0 M, COM SOLO DE 1ª CATEGORIA EM LOCAIS COM ALTO NÍVEL DE INTERFERÊNCIA. AF_04/2016</t>
  </si>
  <si>
    <t>TRANSPORTE COM CAMINHÃO BASCULANTE DE 10 M3, EM VIA URBANA PAVIMENTADA, DMT ACIMA DE 30KM (UNIDADE: M3XKM). AF_04/2016</t>
  </si>
  <si>
    <t>BASE PARA POÇO DE VISITA RETANGULAR PARA DRENAGEM, EM ALVENARIA COM BLOCOS DE CONCRETO, DIMENSÕES INTERNAS = 2X2 M, PROFUNDIDADE = 1,45 M, EXCLUINDO TAMPÃO. AF_05/2018</t>
  </si>
  <si>
    <t>ACRÉSCIMO PARA POÇO DE VISITA RETANGULAR PARA DRENAGEM, EM ALVENARIA COM BLOCOS DE CONCRETO, DIMENSÕES INTERNAS = 2X2 M. AF_05/2018</t>
  </si>
  <si>
    <t>TAMPA CIRCULAR PARA ESGOTO E DRENAGEM, EM FERRO FUNDIDO, DIÂMETRO INTERNO = 0,6 M. AF_05/2018</t>
  </si>
  <si>
    <t>C - RUA BARÃO DE CAÇAPAVA (ATÉ ESQ. CEL ROMÃO)</t>
  </si>
  <si>
    <t>CAIXA ENTERRADA HIDRÁULICA RETANGULAR, EM ALVENARIA COM BLOCOS DE CONCRETO, DIMENSÕES INTERNAS: 1X1X0,6 M PARA REDE DE DRENAGEM. AF_05/2018</t>
  </si>
  <si>
    <t>GUINDAUTO HIDRÁULICO, CAPACIDADE MÁXIMA DE CARGA 6200 KG, MOMENTO MÁXIMO DE CARGA 11,7 TM, ALCANCE MÁXIMO HORIZONTAL 9,70 M, INCLUSIVE CAMINHÃO TOCO PBT 16.000 KG, POTÊNCIA DE 189 CV - CHI DIURNO. AF_06/2014</t>
  </si>
  <si>
    <t>GALERIA TUBULAR D=1,50m</t>
  </si>
  <si>
    <t>REDE DRENAGEM D=0,40m</t>
  </si>
  <si>
    <t>Recobrimento</t>
  </si>
  <si>
    <t>Montante</t>
  </si>
  <si>
    <t>Jusante</t>
  </si>
  <si>
    <t>Comprimento</t>
  </si>
  <si>
    <t>média</t>
  </si>
  <si>
    <t>h tubo</t>
  </si>
  <si>
    <t>h rachao 40 cm + 15 cm concreto</t>
  </si>
  <si>
    <t>Profundidade</t>
  </si>
  <si>
    <t>Largura</t>
  </si>
  <si>
    <t>Volume Escavação</t>
  </si>
  <si>
    <t>Escoramento</t>
  </si>
  <si>
    <t>Altura PV</t>
  </si>
  <si>
    <t>Acrescimo</t>
  </si>
  <si>
    <t>Volume rachão</t>
  </si>
  <si>
    <t>Volume concreto</t>
  </si>
  <si>
    <t>Reaterro</t>
  </si>
  <si>
    <t>h galeria</t>
  </si>
  <si>
    <t>h rachao 20 cm + 15 cm concreto</t>
  </si>
  <si>
    <t>24a</t>
  </si>
  <si>
    <t>RESUMO</t>
  </si>
  <si>
    <t>TRANSPORTES</t>
  </si>
  <si>
    <t>Remoção de calçamento</t>
  </si>
  <si>
    <t>m²</t>
  </si>
  <si>
    <t>Material</t>
  </si>
  <si>
    <t>Volume</t>
  </si>
  <si>
    <t>DMT</t>
  </si>
  <si>
    <t>Empol.</t>
  </si>
  <si>
    <t>Momento de Transp.</t>
  </si>
  <si>
    <t>Escavação mecanica</t>
  </si>
  <si>
    <t>m³</t>
  </si>
  <si>
    <t>Mat. Bota fora</t>
  </si>
  <si>
    <t>Escavação em rocha</t>
  </si>
  <si>
    <t>Concreto</t>
  </si>
  <si>
    <t>m</t>
  </si>
  <si>
    <t>und</t>
  </si>
  <si>
    <t>N PV projeto</t>
  </si>
  <si>
    <t>PESO EM TON</t>
  </si>
  <si>
    <t>QTDE.</t>
  </si>
  <si>
    <t>Carga</t>
  </si>
  <si>
    <t>N carga/descarga</t>
  </si>
  <si>
    <t>Carga/descarga</t>
  </si>
  <si>
    <t>Momento de Transporte</t>
  </si>
  <si>
    <t>Acrescimo pv projeto</t>
  </si>
  <si>
    <t>Volume de rachão</t>
  </si>
  <si>
    <t>Volume concreto berço e sub-berço</t>
  </si>
  <si>
    <t>Momento Transporte</t>
  </si>
  <si>
    <t>m3xkm</t>
  </si>
  <si>
    <t>Formas para berço e subberço</t>
  </si>
  <si>
    <t>REDE DRENAGEM D=1,50m</t>
  </si>
  <si>
    <t xml:space="preserve">CARGA E TRANSPORTE </t>
  </si>
  <si>
    <t>N bueiros</t>
  </si>
  <si>
    <t>Marcelo de Souza Silva</t>
  </si>
  <si>
    <t>Engº Civil e de Segurança do Trabalho</t>
  </si>
  <si>
    <t>CREA/RS 081.674-D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</si>
  <si>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</si>
  <si>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</si>
  <si>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</si>
  <si>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</si>
  <si>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</si>
  <si>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</si>
  <si>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</si>
  <si>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</si>
  <si>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</si>
  <si>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</si>
  <si>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</si>
  <si>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unidade</t>
  </si>
  <si>
    <t>LOCAÇÃO DE REDE DE ÁGUA OU ESGOTO. AF_10/2020</t>
  </si>
  <si>
    <t>1.16</t>
  </si>
  <si>
    <t>1.17</t>
  </si>
  <si>
    <t>m³XKm</t>
  </si>
  <si>
    <t>ALA PARA REDE PLUVIAL</t>
  </si>
  <si>
    <t>1.18</t>
  </si>
  <si>
    <t>BOCA DE LOBO EM ALVENARIA TIJOLO MACICO, REVESTIDA C/ ARGAMASSA DE CIMENTO E AREIA 1:3, SOBRE LASTRO DE CONCRETO 10CM E TAMPA DE CONCRETO ARMADO</t>
  </si>
  <si>
    <t>TUBO DE CONCRETO PARA REDES COLETORAS DE ÁGUAS PLUVIAIS, DIÂMETRO DE 1500 MM, JUNTA RÍGIDA, INSTALADO EM LOCAL COM ALTO NÍVEL DE INTERFERÊNCIAS - FORNECIMENTO E ASSENTAMENTO. AF_12/2015</t>
  </si>
</sst>
</file>

<file path=xl/styles.xml><?xml version="1.0" encoding="utf-8"?>
<styleSheet xmlns="http://schemas.openxmlformats.org/spreadsheetml/2006/main">
  <numFmts count="48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_(* #,##0.00_);_(* \(#,##0.00\);_(* &quot;-&quot;??_);_(@_)"/>
    <numFmt numFmtId="186" formatCode="_(&quot;R$ &quot;* #,##0.00_);_(&quot;R$ &quot;* \(#,##0.00\);_(&quot;R$ &quot;* &quot;-&quot;??_);_(@_)"/>
    <numFmt numFmtId="187" formatCode="dd/mm/yy;@"/>
    <numFmt numFmtId="188" formatCode="[$-416]dddd\,\ d&quot; de &quot;mmmm&quot; de &quot;yyyy"/>
    <numFmt numFmtId="189" formatCode="_-* #,##0.0000_-;\-* #,##0.0000_-;_-* &quot;-&quot;??_-;_-@_-"/>
    <numFmt numFmtId="190" formatCode="_-* #,##0.0000_-;\-* #,##0.0000_-;_-* &quot;-&quot;????_-;_-@_-"/>
    <numFmt numFmtId="191" formatCode="[$-416]mmm/yy"/>
    <numFmt numFmtId="192" formatCode="_(* #,##0.00_);_(* \(#,##0.00\);_(* \-??_);_(@_)"/>
    <numFmt numFmtId="193" formatCode="_(* #,##0.0_);_(* \(#,##0.0\);_(* &quot;-&quot;??_);_(@_)"/>
    <numFmt numFmtId="194" formatCode="&quot;R$ &quot;#,##0.00;&quot;-R$ &quot;#,##0.00"/>
    <numFmt numFmtId="195" formatCode="#,##0.00&quot; &quot;;#,##0.00&quot; &quot;;&quot;-&quot;#&quot; &quot;;@&quot; &quot;"/>
    <numFmt numFmtId="196" formatCode="0.0%"/>
    <numFmt numFmtId="197" formatCode="[$-F800]dddd\,\ mmmm\ dd\,\ yyyy"/>
    <numFmt numFmtId="198" formatCode="dd\ &quot;de&quot;\ mmmm\ &quot;de&quot;\ yyyy"/>
    <numFmt numFmtId="199" formatCode="0.00000"/>
    <numFmt numFmtId="200" formatCode="_-* #,##0.00000_-;\-* #,##0.00000_-;_-* &quot;-&quot;??_-;_-@_-"/>
    <numFmt numFmtId="201" formatCode="_-* #,##0.000000_-;\-* #,##0.000000_-;_-* &quot;-&quot;??_-;_-@_-"/>
    <numFmt numFmtId="202" formatCode="_-&quot;R$&quot;\ * #,##0.000_-;\-&quot;R$&quot;\ * #,##0.000_-;_-&quot;R$&quot;\ * &quot;-&quot;??_-;_-@_-"/>
    <numFmt numFmtId="203" formatCode="&quot;Ativar&quot;;&quot;Ativar&quot;;&quot;Desativar&quot;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1"/>
      <family val="0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1"/>
      <family val="0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1"/>
      <family val="0"/>
    </font>
    <font>
      <b/>
      <sz val="10"/>
      <color indexed="8"/>
      <name val="Arial1"/>
      <family val="0"/>
    </font>
    <font>
      <sz val="12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1"/>
      <family val="0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2"/>
      <name val="Eurostile"/>
      <family val="2"/>
    </font>
    <font>
      <sz val="10"/>
      <name val="Eurostile"/>
      <family val="2"/>
    </font>
    <font>
      <b/>
      <sz val="11"/>
      <name val="Eurostile"/>
      <family val="2"/>
    </font>
    <font>
      <b/>
      <sz val="10"/>
      <name val="Eurostile"/>
      <family val="2"/>
    </font>
    <font>
      <sz val="9"/>
      <name val="Eurostil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Eurostil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theme="1"/>
      <name val="Arial1"/>
      <family val="0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Eurostil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9" fontId="59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4" fontId="9" fillId="0" borderId="0">
      <alignment/>
      <protection/>
    </xf>
    <xf numFmtId="0" fontId="5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4" fillId="32" borderId="0" applyNumberFormat="0" applyBorder="0" applyAlignment="0" applyProtection="0"/>
    <xf numFmtId="0" fontId="65" fillId="21" borderId="5" applyNumberFormat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</cellStyleXfs>
  <cellXfs count="403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4" fillId="0" borderId="11" xfId="0" applyFont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9" fillId="0" borderId="0" xfId="55">
      <alignment/>
      <protection/>
    </xf>
    <xf numFmtId="0" fontId="63" fillId="0" borderId="0" xfId="52">
      <alignment/>
      <protection/>
    </xf>
    <xf numFmtId="0" fontId="59" fillId="35" borderId="12" xfId="55" applyFill="1" applyBorder="1">
      <alignment/>
      <protection/>
    </xf>
    <xf numFmtId="0" fontId="11" fillId="36" borderId="13" xfId="55" applyFont="1" applyFill="1" applyBorder="1" applyAlignment="1">
      <alignment vertical="center" wrapText="1"/>
      <protection/>
    </xf>
    <xf numFmtId="0" fontId="11" fillId="36" borderId="14" xfId="55" applyFont="1" applyFill="1" applyBorder="1" applyAlignment="1">
      <alignment vertical="center" wrapText="1"/>
      <protection/>
    </xf>
    <xf numFmtId="0" fontId="13" fillId="0" borderId="0" xfId="55" applyFont="1" applyBorder="1" applyAlignment="1">
      <alignment vertical="center"/>
      <protection/>
    </xf>
    <xf numFmtId="0" fontId="14" fillId="0" borderId="0" xfId="55" applyFont="1" applyBorder="1">
      <alignment/>
      <protection/>
    </xf>
    <xf numFmtId="0" fontId="11" fillId="35" borderId="15" xfId="55" applyFont="1" applyFill="1" applyBorder="1" applyAlignment="1">
      <alignment vertical="center" wrapText="1"/>
      <protection/>
    </xf>
    <xf numFmtId="0" fontId="11" fillId="36" borderId="0" xfId="55" applyFont="1" applyFill="1" applyBorder="1" applyAlignment="1">
      <alignment vertical="center" wrapText="1"/>
      <protection/>
    </xf>
    <xf numFmtId="0" fontId="11" fillId="36" borderId="16" xfId="55" applyFont="1" applyFill="1" applyBorder="1" applyAlignment="1">
      <alignment vertical="center" wrapText="1"/>
      <protection/>
    </xf>
    <xf numFmtId="0" fontId="14" fillId="36" borderId="17" xfId="55" applyFont="1" applyFill="1" applyBorder="1" applyAlignment="1">
      <alignment horizontal="left" vertical="top"/>
      <protection/>
    </xf>
    <xf numFmtId="0" fontId="16" fillId="0" borderId="0" xfId="55" applyFont="1" applyBorder="1" applyAlignment="1">
      <alignment vertical="center" wrapText="1"/>
      <protection/>
    </xf>
    <xf numFmtId="0" fontId="12" fillId="36" borderId="18" xfId="55" applyFont="1" applyFill="1" applyBorder="1" applyAlignment="1">
      <alignment vertical="center" wrapText="1"/>
      <protection/>
    </xf>
    <xf numFmtId="0" fontId="14" fillId="36" borderId="19" xfId="55" applyFont="1" applyFill="1" applyBorder="1" applyAlignment="1">
      <alignment horizontal="left" vertical="top"/>
      <protection/>
    </xf>
    <xf numFmtId="0" fontId="18" fillId="36" borderId="20" xfId="55" applyNumberFormat="1" applyFont="1" applyFill="1" applyBorder="1" applyAlignment="1">
      <alignment vertical="center" wrapText="1"/>
      <protection/>
    </xf>
    <xf numFmtId="2" fontId="12" fillId="36" borderId="21" xfId="55" applyNumberFormat="1" applyFont="1" applyFill="1" applyBorder="1" applyAlignment="1">
      <alignment horizontal="center" vertical="center" wrapText="1"/>
      <protection/>
    </xf>
    <xf numFmtId="0" fontId="10" fillId="0" borderId="0" xfId="55" applyFont="1" applyBorder="1" applyAlignment="1">
      <alignment vertical="center"/>
      <protection/>
    </xf>
    <xf numFmtId="0" fontId="19" fillId="0" borderId="0" xfId="55" applyFont="1" applyBorder="1" applyAlignment="1">
      <alignment vertical="center"/>
      <protection/>
    </xf>
    <xf numFmtId="0" fontId="20" fillId="0" borderId="0" xfId="55" applyFont="1" applyBorder="1" applyAlignment="1">
      <alignment horizontal="center" vertical="center"/>
      <protection/>
    </xf>
    <xf numFmtId="191" fontId="16" fillId="0" borderId="0" xfId="55" applyNumberFormat="1" applyFont="1" applyBorder="1" applyAlignment="1">
      <alignment vertical="center"/>
      <protection/>
    </xf>
    <xf numFmtId="0" fontId="5" fillId="36" borderId="22" xfId="55" applyFont="1" applyFill="1" applyBorder="1">
      <alignment/>
      <protection/>
    </xf>
    <xf numFmtId="0" fontId="5" fillId="36" borderId="23" xfId="55" applyFont="1" applyFill="1" applyBorder="1">
      <alignment/>
      <protection/>
    </xf>
    <xf numFmtId="0" fontId="6" fillId="36" borderId="24" xfId="55" applyFont="1" applyFill="1" applyBorder="1" applyAlignment="1">
      <alignment horizontal="center"/>
      <protection/>
    </xf>
    <xf numFmtId="0" fontId="9" fillId="36" borderId="25" xfId="55" applyFont="1" applyFill="1" applyBorder="1">
      <alignment/>
      <protection/>
    </xf>
    <xf numFmtId="0" fontId="6" fillId="36" borderId="26" xfId="55" applyFont="1" applyFill="1" applyBorder="1" applyAlignment="1">
      <alignment horizontal="center"/>
      <protection/>
    </xf>
    <xf numFmtId="0" fontId="6" fillId="36" borderId="27" xfId="55" applyFont="1" applyFill="1" applyBorder="1" applyAlignment="1">
      <alignment horizontal="center"/>
      <protection/>
    </xf>
    <xf numFmtId="0" fontId="59" fillId="0" borderId="0" xfId="55" applyBorder="1">
      <alignment/>
      <protection/>
    </xf>
    <xf numFmtId="193" fontId="21" fillId="0" borderId="0" xfId="61" applyNumberFormat="1" applyFont="1" applyAlignment="1">
      <alignment/>
    </xf>
    <xf numFmtId="0" fontId="6" fillId="0" borderId="24" xfId="55" applyFont="1" applyBorder="1" applyAlignment="1">
      <alignment horizontal="center" vertical="center"/>
      <protection/>
    </xf>
    <xf numFmtId="0" fontId="22" fillId="0" borderId="24" xfId="55" applyFont="1" applyBorder="1" applyAlignment="1">
      <alignment wrapText="1"/>
      <protection/>
    </xf>
    <xf numFmtId="0" fontId="9" fillId="0" borderId="24" xfId="61" applyNumberFormat="1" applyFont="1" applyBorder="1" applyAlignment="1">
      <alignment horizontal="center" vertical="center"/>
    </xf>
    <xf numFmtId="170" fontId="9" fillId="0" borderId="24" xfId="50" applyFont="1" applyBorder="1" applyAlignment="1">
      <alignment horizontal="center" vertical="center"/>
    </xf>
    <xf numFmtId="170" fontId="6" fillId="0" borderId="24" xfId="61" applyNumberFormat="1" applyFont="1" applyBorder="1" applyAlignment="1">
      <alignment horizontal="center" vertical="center"/>
    </xf>
    <xf numFmtId="1" fontId="9" fillId="0" borderId="24" xfId="55" applyNumberFormat="1" applyFont="1" applyBorder="1" applyAlignment="1">
      <alignment horizontal="center" vertical="center"/>
      <protection/>
    </xf>
    <xf numFmtId="9" fontId="23" fillId="0" borderId="0" xfId="44" applyFont="1" applyFill="1" applyBorder="1" applyAlignment="1" applyProtection="1">
      <alignment/>
      <protection/>
    </xf>
    <xf numFmtId="0" fontId="5" fillId="0" borderId="0" xfId="55" applyFont="1">
      <alignment/>
      <protection/>
    </xf>
    <xf numFmtId="0" fontId="9" fillId="0" borderId="0" xfId="55" applyFont="1">
      <alignment/>
      <protection/>
    </xf>
    <xf numFmtId="0" fontId="6" fillId="37" borderId="24" xfId="55" applyFont="1" applyFill="1" applyBorder="1" applyAlignment="1">
      <alignment horizontal="right"/>
      <protection/>
    </xf>
    <xf numFmtId="171" fontId="6" fillId="37" borderId="24" xfId="61" applyFont="1" applyFill="1" applyBorder="1" applyAlignment="1">
      <alignment horizontal="center" vertical="center"/>
    </xf>
    <xf numFmtId="170" fontId="6" fillId="37" borderId="24" xfId="50" applyFont="1" applyFill="1" applyBorder="1" applyAlignment="1">
      <alignment horizontal="center" vertical="center"/>
    </xf>
    <xf numFmtId="170" fontId="6" fillId="0" borderId="24" xfId="50" applyFont="1" applyBorder="1" applyAlignment="1">
      <alignment/>
    </xf>
    <xf numFmtId="171" fontId="6" fillId="0" borderId="24" xfId="61" applyFont="1" applyBorder="1" applyAlignment="1">
      <alignment/>
    </xf>
    <xf numFmtId="0" fontId="14" fillId="0" borderId="0" xfId="55" applyFont="1" applyFill="1" applyBorder="1" applyAlignment="1">
      <alignment horizontal="left" vertical="top" wrapText="1"/>
      <protection/>
    </xf>
    <xf numFmtId="194" fontId="12" fillId="0" borderId="0" xfId="55" applyNumberFormat="1" applyFont="1" applyFill="1" applyBorder="1" applyAlignment="1">
      <alignment vertical="center"/>
      <protection/>
    </xf>
    <xf numFmtId="4" fontId="20" fillId="0" borderId="0" xfId="55" applyNumberFormat="1" applyFont="1" applyBorder="1">
      <alignment/>
      <protection/>
    </xf>
    <xf numFmtId="9" fontId="14" fillId="0" borderId="0" xfId="44" applyFont="1" applyFill="1" applyBorder="1" applyAlignment="1" applyProtection="1">
      <alignment horizontal="center"/>
      <protection/>
    </xf>
    <xf numFmtId="4" fontId="20" fillId="0" borderId="0" xfId="55" applyNumberFormat="1" applyFont="1" applyFill="1" applyBorder="1" applyAlignment="1">
      <alignment horizontal="right"/>
      <protection/>
    </xf>
    <xf numFmtId="4" fontId="24" fillId="0" borderId="0" xfId="55" applyNumberFormat="1" applyFont="1" applyBorder="1">
      <alignment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/>
      <protection/>
    </xf>
    <xf numFmtId="0" fontId="15" fillId="0" borderId="0" xfId="55" applyFont="1" applyAlignment="1">
      <alignment/>
      <protection/>
    </xf>
    <xf numFmtId="195" fontId="14" fillId="0" borderId="0" xfId="55" applyNumberFormat="1" applyFont="1" applyBorder="1" applyAlignment="1">
      <alignment vertical="center"/>
      <protection/>
    </xf>
    <xf numFmtId="49" fontId="59" fillId="0" borderId="0" xfId="55" applyNumberFormat="1" applyAlignment="1">
      <alignment vertical="center" wrapText="1"/>
      <protection/>
    </xf>
    <xf numFmtId="0" fontId="59" fillId="0" borderId="0" xfId="55" applyBorder="1" applyAlignment="1">
      <alignment horizontal="right"/>
      <protection/>
    </xf>
    <xf numFmtId="0" fontId="59" fillId="0" borderId="0" xfId="55" applyBorder="1" applyAlignment="1">
      <alignment/>
      <protection/>
    </xf>
    <xf numFmtId="0" fontId="59" fillId="0" borderId="0" xfId="55" applyBorder="1" applyAlignment="1">
      <alignment wrapText="1"/>
      <protection/>
    </xf>
    <xf numFmtId="4" fontId="23" fillId="0" borderId="0" xfId="52" applyNumberFormat="1" applyFont="1">
      <alignment/>
      <protection/>
    </xf>
    <xf numFmtId="9" fontId="26" fillId="0" borderId="0" xfId="44" applyFont="1">
      <alignment/>
      <protection/>
    </xf>
    <xf numFmtId="171" fontId="59" fillId="0" borderId="0" xfId="70" applyFont="1" applyAlignment="1">
      <alignment/>
    </xf>
    <xf numFmtId="171" fontId="23" fillId="0" borderId="0" xfId="70" applyFont="1" applyFill="1" applyBorder="1" applyAlignment="1" applyProtection="1">
      <alignment/>
      <protection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17" fontId="9" fillId="0" borderId="31" xfId="0" applyNumberFormat="1" applyFont="1" applyFill="1" applyBorder="1" applyAlignment="1" quotePrefix="1">
      <alignment vertical="center"/>
    </xf>
    <xf numFmtId="0" fontId="9" fillId="0" borderId="32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33" xfId="0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vertical="center"/>
    </xf>
    <xf numFmtId="17" fontId="9" fillId="0" borderId="31" xfId="0" applyNumberFormat="1" applyFont="1" applyFill="1" applyBorder="1" applyAlignment="1" quotePrefix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27" fillId="0" borderId="35" xfId="0" applyFont="1" applyBorder="1" applyAlignment="1">
      <alignment horizontal="left" wrapText="1"/>
    </xf>
    <xf numFmtId="0" fontId="27" fillId="37" borderId="0" xfId="0" applyFont="1" applyFill="1" applyAlignment="1">
      <alignment/>
    </xf>
    <xf numFmtId="0" fontId="27" fillId="0" borderId="0" xfId="0" applyFont="1" applyAlignment="1">
      <alignment/>
    </xf>
    <xf numFmtId="0" fontId="27" fillId="37" borderId="0" xfId="0" applyFont="1" applyFill="1" applyAlignment="1">
      <alignment horizontal="center"/>
    </xf>
    <xf numFmtId="49" fontId="27" fillId="37" borderId="0" xfId="0" applyNumberFormat="1" applyFont="1" applyFill="1" applyAlignment="1">
      <alignment horizontal="left"/>
    </xf>
    <xf numFmtId="0" fontId="27" fillId="37" borderId="0" xfId="0" applyFont="1" applyFill="1" applyAlignment="1">
      <alignment wrapText="1"/>
    </xf>
    <xf numFmtId="0" fontId="28" fillId="37" borderId="0" xfId="0" applyFont="1" applyFill="1" applyAlignment="1">
      <alignment horizontal="center"/>
    </xf>
    <xf numFmtId="4" fontId="29" fillId="37" borderId="0" xfId="53" applyNumberFormat="1" applyFont="1" applyFill="1" applyAlignment="1">
      <alignment horizontal="center" vertical="center"/>
      <protection/>
    </xf>
    <xf numFmtId="0" fontId="29" fillId="37" borderId="0" xfId="53" applyFont="1" applyFill="1" applyAlignment="1">
      <alignment horizontal="center" vertical="center"/>
      <protection/>
    </xf>
    <xf numFmtId="0" fontId="29" fillId="37" borderId="0" xfId="53" applyFont="1" applyFill="1" applyAlignment="1">
      <alignment vertical="center"/>
      <protection/>
    </xf>
    <xf numFmtId="49" fontId="29" fillId="37" borderId="0" xfId="53" applyNumberFormat="1" applyFont="1" applyFill="1" applyAlignment="1">
      <alignment horizontal="center" vertical="center"/>
      <protection/>
    </xf>
    <xf numFmtId="49" fontId="28" fillId="38" borderId="36" xfId="0" applyNumberFormat="1" applyFont="1" applyFill="1" applyBorder="1" applyAlignment="1" applyProtection="1">
      <alignment horizontal="center" wrapText="1"/>
      <protection locked="0"/>
    </xf>
    <xf numFmtId="49" fontId="28" fillId="38" borderId="36" xfId="0" applyNumberFormat="1" applyFont="1" applyFill="1" applyBorder="1" applyAlignment="1" applyProtection="1">
      <alignment wrapText="1"/>
      <protection locked="0"/>
    </xf>
    <xf numFmtId="0" fontId="28" fillId="0" borderId="36" xfId="0" applyFont="1" applyBorder="1" applyAlignment="1">
      <alignment horizontal="center"/>
    </xf>
    <xf numFmtId="0" fontId="28" fillId="36" borderId="36" xfId="0" applyFont="1" applyFill="1" applyBorder="1" applyAlignment="1">
      <alignment/>
    </xf>
    <xf numFmtId="4" fontId="28" fillId="36" borderId="36" xfId="0" applyNumberFormat="1" applyFont="1" applyFill="1" applyBorder="1" applyAlignment="1">
      <alignment horizontal="center"/>
    </xf>
    <xf numFmtId="4" fontId="28" fillId="36" borderId="37" xfId="0" applyNumberFormat="1" applyFont="1" applyFill="1" applyBorder="1" applyAlignment="1">
      <alignment horizontal="center"/>
    </xf>
    <xf numFmtId="49" fontId="27" fillId="38" borderId="35" xfId="0" applyNumberFormat="1" applyFont="1" applyFill="1" applyBorder="1" applyAlignment="1" applyProtection="1">
      <alignment horizontal="center" wrapText="1"/>
      <protection locked="0"/>
    </xf>
    <xf numFmtId="0" fontId="27" fillId="0" borderId="35" xfId="0" applyFont="1" applyBorder="1" applyAlignment="1">
      <alignment horizontal="center" wrapText="1"/>
    </xf>
    <xf numFmtId="0" fontId="27" fillId="38" borderId="35" xfId="0" applyFont="1" applyFill="1" applyBorder="1" applyAlignment="1" applyProtection="1">
      <alignment horizontal="center" wrapText="1"/>
      <protection locked="0"/>
    </xf>
    <xf numFmtId="4" fontId="27" fillId="0" borderId="35" xfId="0" applyNumberFormat="1" applyFont="1" applyBorder="1" applyAlignment="1">
      <alignment horizontal="center" wrapText="1"/>
    </xf>
    <xf numFmtId="0" fontId="27" fillId="0" borderId="18" xfId="0" applyFont="1" applyBorder="1" applyAlignment="1">
      <alignment/>
    </xf>
    <xf numFmtId="0" fontId="27" fillId="0" borderId="38" xfId="0" applyFont="1" applyBorder="1" applyAlignment="1">
      <alignment horizontal="left" wrapText="1"/>
    </xf>
    <xf numFmtId="0" fontId="27" fillId="0" borderId="38" xfId="0" applyFont="1" applyBorder="1" applyAlignment="1">
      <alignment horizontal="center" wrapText="1"/>
    </xf>
    <xf numFmtId="0" fontId="27" fillId="38" borderId="38" xfId="0" applyFont="1" applyFill="1" applyBorder="1" applyAlignment="1" applyProtection="1">
      <alignment horizontal="center" wrapText="1"/>
      <protection locked="0"/>
    </xf>
    <xf numFmtId="4" fontId="27" fillId="0" borderId="38" xfId="0" applyNumberFormat="1" applyFont="1" applyBorder="1" applyAlignment="1">
      <alignment horizontal="center" wrapText="1"/>
    </xf>
    <xf numFmtId="49" fontId="27" fillId="38" borderId="38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Border="1" applyAlignment="1">
      <alignment vertical="center"/>
    </xf>
    <xf numFmtId="4" fontId="0" fillId="0" borderId="2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2" fillId="0" borderId="39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/>
    </xf>
    <xf numFmtId="4" fontId="0" fillId="0" borderId="39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0" fillId="0" borderId="43" xfId="0" applyBorder="1" applyAlignment="1">
      <alignment wrapText="1"/>
    </xf>
    <xf numFmtId="4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72" fillId="0" borderId="44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2" fillId="0" borderId="45" xfId="0" applyFont="1" applyBorder="1" applyAlignment="1">
      <alignment horizontal="center"/>
    </xf>
    <xf numFmtId="0" fontId="0" fillId="0" borderId="39" xfId="0" applyBorder="1" applyAlignment="1">
      <alignment wrapText="1"/>
    </xf>
    <xf numFmtId="0" fontId="0" fillId="0" borderId="25" xfId="0" applyBorder="1" applyAlignment="1">
      <alignment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72" fillId="0" borderId="43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42" xfId="0" applyBorder="1" applyAlignment="1">
      <alignment vertical="center" wrapText="1"/>
    </xf>
    <xf numFmtId="4" fontId="0" fillId="0" borderId="26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4" fontId="0" fillId="0" borderId="0" xfId="0" applyNumberFormat="1" applyAlignment="1">
      <alignment/>
    </xf>
    <xf numFmtId="0" fontId="31" fillId="0" borderId="0" xfId="0" applyFont="1" applyAlignment="1">
      <alignment vertical="center"/>
    </xf>
    <xf numFmtId="0" fontId="31" fillId="39" borderId="0" xfId="0" applyFont="1" applyFill="1" applyBorder="1" applyAlignment="1">
      <alignment vertical="center"/>
    </xf>
    <xf numFmtId="0" fontId="32" fillId="39" borderId="16" xfId="0" applyFont="1" applyFill="1" applyBorder="1" applyAlignment="1">
      <alignment vertical="center"/>
    </xf>
    <xf numFmtId="0" fontId="31" fillId="39" borderId="15" xfId="0" applyFont="1" applyFill="1" applyBorder="1" applyAlignment="1">
      <alignment vertical="center"/>
    </xf>
    <xf numFmtId="0" fontId="73" fillId="39" borderId="0" xfId="0" applyFont="1" applyFill="1" applyBorder="1" applyAlignment="1">
      <alignment vertical="center"/>
    </xf>
    <xf numFmtId="0" fontId="31" fillId="39" borderId="16" xfId="0" applyFont="1" applyFill="1" applyBorder="1" applyAlignment="1">
      <alignment vertical="center"/>
    </xf>
    <xf numFmtId="0" fontId="31" fillId="39" borderId="0" xfId="0" applyFont="1" applyFill="1" applyBorder="1" applyAlignment="1">
      <alignment vertical="center" wrapText="1"/>
    </xf>
    <xf numFmtId="0" fontId="31" fillId="39" borderId="0" xfId="0" applyFont="1" applyFill="1" applyBorder="1" applyAlignment="1">
      <alignment horizontal="left" vertical="center" wrapText="1"/>
    </xf>
    <xf numFmtId="0" fontId="31" fillId="39" borderId="0" xfId="0" applyFont="1" applyFill="1" applyBorder="1" applyAlignment="1">
      <alignment horizontal="left" vertical="center"/>
    </xf>
    <xf numFmtId="0" fontId="31" fillId="39" borderId="16" xfId="0" applyFont="1" applyFill="1" applyBorder="1" applyAlignment="1">
      <alignment horizontal="left" vertical="center" wrapText="1"/>
    </xf>
    <xf numFmtId="10" fontId="31" fillId="39" borderId="16" xfId="0" applyNumberFormat="1" applyFont="1" applyFill="1" applyBorder="1" applyAlignment="1">
      <alignment horizontal="left" vertical="center"/>
    </xf>
    <xf numFmtId="0" fontId="31" fillId="39" borderId="40" xfId="0" applyFont="1" applyFill="1" applyBorder="1" applyAlignment="1">
      <alignment vertical="center"/>
    </xf>
    <xf numFmtId="0" fontId="31" fillId="39" borderId="20" xfId="0" applyFont="1" applyFill="1" applyBorder="1" applyAlignment="1">
      <alignment vertical="center"/>
    </xf>
    <xf numFmtId="0" fontId="31" fillId="39" borderId="41" xfId="0" applyFont="1" applyFill="1" applyBorder="1" applyAlignment="1">
      <alignment vertical="center"/>
    </xf>
    <xf numFmtId="10" fontId="31" fillId="39" borderId="41" xfId="0" applyNumberFormat="1" applyFont="1" applyFill="1" applyBorder="1" applyAlignment="1">
      <alignment horizontal="left" vertical="center" wrapText="1"/>
    </xf>
    <xf numFmtId="49" fontId="33" fillId="40" borderId="46" xfId="47" applyNumberFormat="1" applyFont="1" applyFill="1" applyBorder="1" applyAlignment="1">
      <alignment horizontal="center" vertical="center" wrapText="1"/>
    </xf>
    <xf numFmtId="49" fontId="33" fillId="40" borderId="47" xfId="47" applyNumberFormat="1" applyFont="1" applyFill="1" applyBorder="1" applyAlignment="1">
      <alignment horizontal="center" vertical="center" wrapText="1"/>
    </xf>
    <xf numFmtId="0" fontId="33" fillId="40" borderId="48" xfId="0" applyFont="1" applyFill="1" applyBorder="1" applyAlignment="1">
      <alignment horizontal="right" vertical="center"/>
    </xf>
    <xf numFmtId="171" fontId="33" fillId="40" borderId="48" xfId="70" applyFont="1" applyFill="1" applyBorder="1" applyAlignment="1">
      <alignment vertical="center"/>
    </xf>
    <xf numFmtId="171" fontId="33" fillId="40" borderId="49" xfId="70" applyFont="1" applyFill="1" applyBorder="1" applyAlignment="1">
      <alignment vertical="center"/>
    </xf>
    <xf numFmtId="0" fontId="33" fillId="41" borderId="43" xfId="0" applyFont="1" applyFill="1" applyBorder="1" applyAlignment="1">
      <alignment horizontal="center" vertical="center"/>
    </xf>
    <xf numFmtId="0" fontId="33" fillId="41" borderId="22" xfId="0" applyFont="1" applyFill="1" applyBorder="1" applyAlignment="1">
      <alignment horizontal="center" vertical="center"/>
    </xf>
    <xf numFmtId="0" fontId="31" fillId="41" borderId="22" xfId="0" applyFont="1" applyFill="1" applyBorder="1" applyAlignment="1">
      <alignment horizontal="center" vertical="center"/>
    </xf>
    <xf numFmtId="0" fontId="33" fillId="41" borderId="22" xfId="0" applyFont="1" applyFill="1" applyBorder="1" applyAlignment="1">
      <alignment vertical="center"/>
    </xf>
    <xf numFmtId="0" fontId="31" fillId="41" borderId="22" xfId="0" applyFont="1" applyFill="1" applyBorder="1" applyAlignment="1">
      <alignment vertical="center"/>
    </xf>
    <xf numFmtId="184" fontId="31" fillId="41" borderId="22" xfId="47" applyNumberFormat="1" applyFont="1" applyFill="1" applyBorder="1" applyAlignment="1">
      <alignment horizontal="right" vertical="center"/>
    </xf>
    <xf numFmtId="0" fontId="31" fillId="41" borderId="22" xfId="47" applyNumberFormat="1" applyFont="1" applyFill="1" applyBorder="1" applyAlignment="1">
      <alignment horizontal="right" vertical="center"/>
    </xf>
    <xf numFmtId="0" fontId="31" fillId="41" borderId="23" xfId="49" applyNumberFormat="1" applyFont="1" applyFill="1" applyBorder="1" applyAlignment="1">
      <alignment horizontal="right" vertical="center"/>
    </xf>
    <xf numFmtId="0" fontId="31" fillId="0" borderId="50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4" xfId="0" applyFont="1" applyBorder="1" applyAlignment="1">
      <alignment vertical="center"/>
    </xf>
    <xf numFmtId="189" fontId="31" fillId="0" borderId="34" xfId="70" applyNumberFormat="1" applyFont="1" applyBorder="1" applyAlignment="1">
      <alignment horizontal="center" vertical="center"/>
    </xf>
    <xf numFmtId="170" fontId="31" fillId="0" borderId="34" xfId="47" applyFont="1" applyFill="1" applyBorder="1" applyAlignment="1">
      <alignment horizontal="right" vertical="center"/>
    </xf>
    <xf numFmtId="170" fontId="31" fillId="0" borderId="51" xfId="47" applyFont="1" applyFill="1" applyBorder="1" applyAlignment="1">
      <alignment horizontal="right" vertical="center"/>
    </xf>
    <xf numFmtId="0" fontId="31" fillId="41" borderId="52" xfId="0" applyFont="1" applyFill="1" applyBorder="1" applyAlignment="1">
      <alignment vertical="center"/>
    </xf>
    <xf numFmtId="0" fontId="31" fillId="41" borderId="48" xfId="0" applyFont="1" applyFill="1" applyBorder="1" applyAlignment="1">
      <alignment vertical="center"/>
    </xf>
    <xf numFmtId="0" fontId="31" fillId="41" borderId="48" xfId="0" applyFont="1" applyFill="1" applyBorder="1" applyAlignment="1">
      <alignment horizontal="center" vertical="center"/>
    </xf>
    <xf numFmtId="0" fontId="33" fillId="41" borderId="48" xfId="0" applyFont="1" applyFill="1" applyBorder="1" applyAlignment="1">
      <alignment horizontal="center" vertical="center"/>
    </xf>
    <xf numFmtId="0" fontId="33" fillId="41" borderId="48" xfId="47" applyNumberFormat="1" applyFont="1" applyFill="1" applyBorder="1" applyAlignment="1">
      <alignment horizontal="right" vertical="center"/>
    </xf>
    <xf numFmtId="171" fontId="33" fillId="41" borderId="49" xfId="47" applyNumberFormat="1" applyFont="1" applyFill="1" applyBorder="1" applyAlignment="1">
      <alignment horizontal="right" vertical="center"/>
    </xf>
    <xf numFmtId="170" fontId="33" fillId="41" borderId="53" xfId="47" applyFont="1" applyFill="1" applyBorder="1" applyAlignment="1">
      <alignment horizontal="right" vertical="center"/>
    </xf>
    <xf numFmtId="0" fontId="31" fillId="42" borderId="48" xfId="0" applyFont="1" applyFill="1" applyBorder="1" applyAlignment="1">
      <alignment vertical="center"/>
    </xf>
    <xf numFmtId="0" fontId="31" fillId="42" borderId="48" xfId="0" applyFont="1" applyFill="1" applyBorder="1" applyAlignment="1">
      <alignment horizontal="center" vertical="center"/>
    </xf>
    <xf numFmtId="0" fontId="33" fillId="42" borderId="48" xfId="0" applyFont="1" applyFill="1" applyBorder="1" applyAlignment="1">
      <alignment horizontal="left" vertical="center"/>
    </xf>
    <xf numFmtId="0" fontId="33" fillId="42" borderId="48" xfId="0" applyFont="1" applyFill="1" applyBorder="1" applyAlignment="1">
      <alignment horizontal="center" vertical="center"/>
    </xf>
    <xf numFmtId="0" fontId="33" fillId="42" borderId="48" xfId="47" applyNumberFormat="1" applyFont="1" applyFill="1" applyBorder="1" applyAlignment="1">
      <alignment horizontal="right" vertical="center"/>
    </xf>
    <xf numFmtId="171" fontId="33" fillId="42" borderId="48" xfId="47" applyNumberFormat="1" applyFont="1" applyFill="1" applyBorder="1" applyAlignment="1">
      <alignment horizontal="right" vertical="center"/>
    </xf>
    <xf numFmtId="0" fontId="33" fillId="41" borderId="39" xfId="0" applyFont="1" applyFill="1" applyBorder="1" applyAlignment="1">
      <alignment horizontal="center" vertical="center"/>
    </xf>
    <xf numFmtId="0" fontId="33" fillId="41" borderId="24" xfId="0" applyFont="1" applyFill="1" applyBorder="1" applyAlignment="1">
      <alignment horizontal="center" vertical="center"/>
    </xf>
    <xf numFmtId="0" fontId="31" fillId="41" borderId="24" xfId="0" applyFont="1" applyFill="1" applyBorder="1" applyAlignment="1">
      <alignment horizontal="center" vertical="center"/>
    </xf>
    <xf numFmtId="0" fontId="33" fillId="41" borderId="54" xfId="0" applyFont="1" applyFill="1" applyBorder="1" applyAlignment="1">
      <alignment vertical="center"/>
    </xf>
    <xf numFmtId="0" fontId="31" fillId="41" borderId="55" xfId="0" applyFont="1" applyFill="1" applyBorder="1" applyAlignment="1">
      <alignment horizontal="center" vertical="center"/>
    </xf>
    <xf numFmtId="189" fontId="31" fillId="41" borderId="32" xfId="70" applyNumberFormat="1" applyFont="1" applyFill="1" applyBorder="1" applyAlignment="1">
      <alignment horizontal="center" vertical="center"/>
    </xf>
    <xf numFmtId="171" fontId="31" fillId="41" borderId="24" xfId="70" applyNumberFormat="1" applyFont="1" applyFill="1" applyBorder="1" applyAlignment="1">
      <alignment horizontal="right" vertical="center"/>
    </xf>
    <xf numFmtId="171" fontId="31" fillId="41" borderId="24" xfId="47" applyNumberFormat="1" applyFont="1" applyFill="1" applyBorder="1" applyAlignment="1">
      <alignment horizontal="right" vertical="center"/>
    </xf>
    <xf numFmtId="171" fontId="31" fillId="41" borderId="25" xfId="47" applyNumberFormat="1" applyFont="1" applyFill="1" applyBorder="1" applyAlignment="1">
      <alignment horizontal="right" vertical="center"/>
    </xf>
    <xf numFmtId="0" fontId="31" fillId="0" borderId="56" xfId="0" applyFont="1" applyFill="1" applyBorder="1" applyAlignment="1">
      <alignment horizontal="center" vertical="center"/>
    </xf>
    <xf numFmtId="0" fontId="31" fillId="0" borderId="57" xfId="0" applyFont="1" applyFill="1" applyBorder="1" applyAlignment="1">
      <alignment horizontal="center" vertical="center"/>
    </xf>
    <xf numFmtId="189" fontId="31" fillId="0" borderId="57" xfId="70" applyNumberFormat="1" applyFont="1" applyFill="1" applyBorder="1" applyAlignment="1">
      <alignment horizontal="center" vertical="center"/>
    </xf>
    <xf numFmtId="170" fontId="31" fillId="0" borderId="57" xfId="47" applyFont="1" applyFill="1" applyBorder="1" applyAlignment="1">
      <alignment horizontal="right" vertical="center"/>
    </xf>
    <xf numFmtId="0" fontId="31" fillId="0" borderId="50" xfId="0" applyFont="1" applyFill="1" applyBorder="1" applyAlignment="1">
      <alignment horizontal="center" vertical="center"/>
    </xf>
    <xf numFmtId="189" fontId="31" fillId="0" borderId="34" xfId="70" applyNumberFormat="1" applyFont="1" applyFill="1" applyBorder="1" applyAlignment="1">
      <alignment horizontal="center" vertical="center"/>
    </xf>
    <xf numFmtId="170" fontId="31" fillId="43" borderId="34" xfId="47" applyFont="1" applyFill="1" applyBorder="1" applyAlignment="1">
      <alignment horizontal="right" vertical="center"/>
    </xf>
    <xf numFmtId="171" fontId="31" fillId="0" borderId="34" xfId="70" applyFont="1" applyFill="1" applyBorder="1" applyAlignment="1">
      <alignment horizontal="center" vertical="center"/>
    </xf>
    <xf numFmtId="170" fontId="31" fillId="44" borderId="34" xfId="47" applyFont="1" applyFill="1" applyBorder="1" applyAlignment="1">
      <alignment horizontal="right" vertical="center"/>
    </xf>
    <xf numFmtId="0" fontId="31" fillId="0" borderId="58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189" fontId="31" fillId="0" borderId="59" xfId="70" applyNumberFormat="1" applyFont="1" applyFill="1" applyBorder="1" applyAlignment="1">
      <alignment horizontal="center" vertical="center"/>
    </xf>
    <xf numFmtId="170" fontId="31" fillId="0" borderId="59" xfId="47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170" fontId="31" fillId="41" borderId="24" xfId="47" applyFont="1" applyFill="1" applyBorder="1" applyAlignment="1">
      <alignment horizontal="right" vertical="center"/>
    </xf>
    <xf numFmtId="170" fontId="31" fillId="41" borderId="25" xfId="47" applyFont="1" applyFill="1" applyBorder="1" applyAlignment="1">
      <alignment horizontal="right" vertical="center"/>
    </xf>
    <xf numFmtId="189" fontId="31" fillId="0" borderId="60" xfId="70" applyNumberFormat="1" applyFont="1" applyBorder="1" applyAlignment="1">
      <alignment horizontal="center" vertical="center"/>
    </xf>
    <xf numFmtId="189" fontId="31" fillId="41" borderId="24" xfId="70" applyNumberFormat="1" applyFont="1" applyFill="1" applyBorder="1" applyAlignment="1">
      <alignment horizontal="center" vertical="center"/>
    </xf>
    <xf numFmtId="189" fontId="31" fillId="0" borderId="59" xfId="70" applyNumberFormat="1" applyFont="1" applyBorder="1" applyAlignment="1">
      <alignment horizontal="center" vertical="center"/>
    </xf>
    <xf numFmtId="189" fontId="31" fillId="44" borderId="57" xfId="70" applyNumberFormat="1" applyFont="1" applyFill="1" applyBorder="1" applyAlignment="1">
      <alignment horizontal="center" vertical="center"/>
    </xf>
    <xf numFmtId="170" fontId="31" fillId="0" borderId="61" xfId="47" applyFont="1" applyFill="1" applyBorder="1" applyAlignment="1">
      <alignment horizontal="right" vertical="center"/>
    </xf>
    <xf numFmtId="0" fontId="31" fillId="0" borderId="62" xfId="0" applyFont="1" applyFill="1" applyBorder="1" applyAlignment="1">
      <alignment horizontal="center" vertical="center"/>
    </xf>
    <xf numFmtId="189" fontId="31" fillId="44" borderId="34" xfId="70" applyNumberFormat="1" applyFont="1" applyFill="1" applyBorder="1" applyAlignment="1">
      <alignment horizontal="center" vertical="center"/>
    </xf>
    <xf numFmtId="0" fontId="31" fillId="0" borderId="34" xfId="0" applyFont="1" applyFill="1" applyBorder="1" applyAlignment="1" quotePrefix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0" fontId="31" fillId="0" borderId="63" xfId="0" applyFont="1" applyFill="1" applyBorder="1" applyAlignment="1" quotePrefix="1">
      <alignment horizontal="center" vertical="center"/>
    </xf>
    <xf numFmtId="189" fontId="31" fillId="0" borderId="63" xfId="70" applyNumberFormat="1" applyFont="1" applyBorder="1" applyAlignment="1">
      <alignment horizontal="center" vertical="center"/>
    </xf>
    <xf numFmtId="170" fontId="31" fillId="0" borderId="63" xfId="47" applyFont="1" applyFill="1" applyBorder="1" applyAlignment="1">
      <alignment horizontal="right" vertical="center"/>
    </xf>
    <xf numFmtId="170" fontId="31" fillId="0" borderId="64" xfId="47" applyFont="1" applyFill="1" applyBorder="1" applyAlignment="1">
      <alignment horizontal="right" vertical="center"/>
    </xf>
    <xf numFmtId="0" fontId="31" fillId="39" borderId="13" xfId="0" applyFont="1" applyFill="1" applyBorder="1" applyAlignment="1">
      <alignment vertical="center"/>
    </xf>
    <xf numFmtId="0" fontId="31" fillId="39" borderId="13" xfId="0" applyFont="1" applyFill="1" applyBorder="1" applyAlignment="1">
      <alignment horizontal="center" vertical="center"/>
    </xf>
    <xf numFmtId="0" fontId="33" fillId="39" borderId="13" xfId="0" applyFont="1" applyFill="1" applyBorder="1" applyAlignment="1">
      <alignment horizontal="left" vertical="center"/>
    </xf>
    <xf numFmtId="0" fontId="33" fillId="39" borderId="13" xfId="0" applyFont="1" applyFill="1" applyBorder="1" applyAlignment="1">
      <alignment horizontal="center" vertical="center"/>
    </xf>
    <xf numFmtId="0" fontId="33" fillId="39" borderId="13" xfId="47" applyNumberFormat="1" applyFont="1" applyFill="1" applyBorder="1" applyAlignment="1">
      <alignment horizontal="right" vertical="center"/>
    </xf>
    <xf numFmtId="171" fontId="33" fillId="39" borderId="13" xfId="47" applyNumberFormat="1" applyFont="1" applyFill="1" applyBorder="1" applyAlignment="1">
      <alignment horizontal="right" vertical="center"/>
    </xf>
    <xf numFmtId="0" fontId="31" fillId="39" borderId="20" xfId="0" applyFont="1" applyFill="1" applyBorder="1" applyAlignment="1">
      <alignment horizontal="center" vertical="center"/>
    </xf>
    <xf numFmtId="0" fontId="33" fillId="39" borderId="20" xfId="0" applyFont="1" applyFill="1" applyBorder="1" applyAlignment="1">
      <alignment horizontal="left" vertical="center"/>
    </xf>
    <xf numFmtId="0" fontId="33" fillId="39" borderId="20" xfId="0" applyFont="1" applyFill="1" applyBorder="1" applyAlignment="1">
      <alignment horizontal="center" vertical="center"/>
    </xf>
    <xf numFmtId="0" fontId="33" fillId="39" borderId="20" xfId="47" applyNumberFormat="1" applyFont="1" applyFill="1" applyBorder="1" applyAlignment="1">
      <alignment horizontal="right" vertical="center"/>
    </xf>
    <xf numFmtId="171" fontId="33" fillId="39" borderId="20" xfId="47" applyNumberFormat="1" applyFont="1" applyFill="1" applyBorder="1" applyAlignment="1">
      <alignment horizontal="right" vertical="center"/>
    </xf>
    <xf numFmtId="170" fontId="31" fillId="44" borderId="57" xfId="47" applyFont="1" applyFill="1" applyBorder="1" applyAlignment="1">
      <alignment horizontal="right" vertical="center"/>
    </xf>
    <xf numFmtId="170" fontId="31" fillId="0" borderId="65" xfId="47" applyFont="1" applyFill="1" applyBorder="1" applyAlignment="1">
      <alignment horizontal="right" vertical="center"/>
    </xf>
    <xf numFmtId="0" fontId="31" fillId="39" borderId="34" xfId="0" applyFont="1" applyFill="1" applyBorder="1" applyAlignment="1">
      <alignment horizontal="center" vertical="center"/>
    </xf>
    <xf numFmtId="189" fontId="31" fillId="39" borderId="34" xfId="70" applyNumberFormat="1" applyFont="1" applyFill="1" applyBorder="1" applyAlignment="1">
      <alignment horizontal="center" vertical="center"/>
    </xf>
    <xf numFmtId="0" fontId="33" fillId="41" borderId="66" xfId="0" applyFont="1" applyFill="1" applyBorder="1" applyAlignment="1">
      <alignment vertical="center"/>
    </xf>
    <xf numFmtId="0" fontId="31" fillId="41" borderId="67" xfId="0" applyFont="1" applyFill="1" applyBorder="1" applyAlignment="1">
      <alignment horizontal="center" vertical="center"/>
    </xf>
    <xf numFmtId="189" fontId="31" fillId="41" borderId="22" xfId="70" applyNumberFormat="1" applyFont="1" applyFill="1" applyBorder="1" applyAlignment="1">
      <alignment horizontal="center" vertical="center"/>
    </xf>
    <xf numFmtId="171" fontId="31" fillId="41" borderId="22" xfId="70" applyNumberFormat="1" applyFont="1" applyFill="1" applyBorder="1" applyAlignment="1">
      <alignment horizontal="right" vertical="center"/>
    </xf>
    <xf numFmtId="171" fontId="31" fillId="41" borderId="22" xfId="47" applyNumberFormat="1" applyFont="1" applyFill="1" applyBorder="1" applyAlignment="1">
      <alignment horizontal="right" vertical="center"/>
    </xf>
    <xf numFmtId="171" fontId="31" fillId="41" borderId="23" xfId="47" applyNumberFormat="1" applyFont="1" applyFill="1" applyBorder="1" applyAlignment="1">
      <alignment horizontal="right" vertical="center"/>
    </xf>
    <xf numFmtId="0" fontId="31" fillId="0" borderId="68" xfId="0" applyFont="1" applyFill="1" applyBorder="1" applyAlignment="1">
      <alignment horizontal="center" vertical="center"/>
    </xf>
    <xf numFmtId="189" fontId="31" fillId="44" borderId="60" xfId="70" applyNumberFormat="1" applyFont="1" applyFill="1" applyBorder="1" applyAlignment="1">
      <alignment horizontal="center" vertical="center"/>
    </xf>
    <xf numFmtId="170" fontId="31" fillId="0" borderId="60" xfId="47" applyFont="1" applyFill="1" applyBorder="1" applyAlignment="1">
      <alignment horizontal="right" vertical="center"/>
    </xf>
    <xf numFmtId="0" fontId="31" fillId="0" borderId="69" xfId="0" applyFont="1" applyFill="1" applyBorder="1" applyAlignment="1">
      <alignment horizontal="center" vertical="center"/>
    </xf>
    <xf numFmtId="170" fontId="31" fillId="39" borderId="34" xfId="47" applyFont="1" applyFill="1" applyBorder="1" applyAlignment="1">
      <alignment horizontal="right" vertical="center"/>
    </xf>
    <xf numFmtId="171" fontId="31" fillId="39" borderId="34" xfId="70" applyFont="1" applyFill="1" applyBorder="1" applyAlignment="1">
      <alignment horizontal="center" vertical="center"/>
    </xf>
    <xf numFmtId="0" fontId="31" fillId="39" borderId="57" xfId="0" applyFont="1" applyFill="1" applyBorder="1" applyAlignment="1">
      <alignment horizontal="center" vertical="center"/>
    </xf>
    <xf numFmtId="189" fontId="31" fillId="39" borderId="57" xfId="70" applyNumberFormat="1" applyFont="1" applyFill="1" applyBorder="1" applyAlignment="1">
      <alignment horizontal="center" vertical="center"/>
    </xf>
    <xf numFmtId="170" fontId="31" fillId="0" borderId="70" xfId="47" applyFont="1" applyFill="1" applyBorder="1" applyAlignment="1">
      <alignment horizontal="right" vertical="center"/>
    </xf>
    <xf numFmtId="170" fontId="31" fillId="39" borderId="51" xfId="47" applyFont="1" applyFill="1" applyBorder="1" applyAlignment="1">
      <alignment horizontal="right" vertical="center"/>
    </xf>
    <xf numFmtId="0" fontId="31" fillId="39" borderId="0" xfId="0" applyFont="1" applyFill="1" applyBorder="1" applyAlignment="1">
      <alignment horizontal="center" vertical="center"/>
    </xf>
    <xf numFmtId="0" fontId="33" fillId="39" borderId="0" xfId="0" applyFont="1" applyFill="1" applyBorder="1" applyAlignment="1">
      <alignment horizontal="left" vertical="center"/>
    </xf>
    <xf numFmtId="0" fontId="33" fillId="39" borderId="0" xfId="0" applyFont="1" applyFill="1" applyBorder="1" applyAlignment="1">
      <alignment horizontal="center" vertical="center"/>
    </xf>
    <xf numFmtId="0" fontId="31" fillId="39" borderId="0" xfId="0" applyFont="1" applyFill="1" applyAlignment="1">
      <alignment vertical="center"/>
    </xf>
    <xf numFmtId="0" fontId="33" fillId="39" borderId="0" xfId="0" applyFont="1" applyFill="1" applyBorder="1" applyAlignment="1">
      <alignment vertical="center"/>
    </xf>
    <xf numFmtId="17" fontId="31" fillId="39" borderId="0" xfId="0" applyNumberFormat="1" applyFont="1" applyFill="1" applyBorder="1" applyAlignment="1" quotePrefix="1">
      <alignment vertical="center"/>
    </xf>
    <xf numFmtId="0" fontId="31" fillId="39" borderId="0" xfId="0" applyFont="1" applyFill="1" applyAlignment="1">
      <alignment horizontal="center" vertical="center"/>
    </xf>
    <xf numFmtId="0" fontId="31" fillId="39" borderId="0" xfId="0" applyFont="1" applyFill="1" applyBorder="1" applyAlignment="1">
      <alignment horizontal="center" vertical="top"/>
    </xf>
    <xf numFmtId="0" fontId="31" fillId="39" borderId="0" xfId="0" applyFont="1" applyFill="1" applyBorder="1" applyAlignment="1">
      <alignment vertical="top" wrapText="1"/>
    </xf>
    <xf numFmtId="0" fontId="31" fillId="39" borderId="0" xfId="0" applyFont="1" applyFill="1" applyBorder="1" applyAlignment="1">
      <alignment horizontal="center" vertical="top" wrapText="1"/>
    </xf>
    <xf numFmtId="186" fontId="31" fillId="39" borderId="0" xfId="0" applyNumberFormat="1" applyFont="1" applyFill="1" applyBorder="1" applyAlignment="1">
      <alignment vertical="center"/>
    </xf>
    <xf numFmtId="170" fontId="31" fillId="0" borderId="0" xfId="47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1" fillId="0" borderId="71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39" borderId="71" xfId="0" applyFont="1" applyFill="1" applyBorder="1" applyAlignment="1">
      <alignment horizontal="left" vertical="center" wrapText="1"/>
    </xf>
    <xf numFmtId="0" fontId="31" fillId="39" borderId="72" xfId="0" applyFont="1" applyFill="1" applyBorder="1" applyAlignment="1">
      <alignment horizontal="left" vertical="center" wrapText="1"/>
    </xf>
    <xf numFmtId="0" fontId="31" fillId="0" borderId="71" xfId="0" applyFont="1" applyFill="1" applyBorder="1" applyAlignment="1">
      <alignment horizontal="left" wrapText="1"/>
    </xf>
    <xf numFmtId="0" fontId="31" fillId="0" borderId="72" xfId="0" applyFont="1" applyFill="1" applyBorder="1" applyAlignment="1">
      <alignment horizontal="left" wrapText="1"/>
    </xf>
    <xf numFmtId="0" fontId="31" fillId="0" borderId="34" xfId="0" applyFont="1" applyFill="1" applyBorder="1" applyAlignment="1">
      <alignment horizontal="left" vertical="center" wrapText="1"/>
    </xf>
    <xf numFmtId="0" fontId="31" fillId="0" borderId="63" xfId="0" applyFont="1" applyFill="1" applyBorder="1" applyAlignment="1">
      <alignment horizontal="left" vertical="center" wrapText="1"/>
    </xf>
    <xf numFmtId="0" fontId="31" fillId="0" borderId="73" xfId="0" applyFont="1" applyFill="1" applyBorder="1" applyAlignment="1">
      <alignment horizontal="left" vertical="center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75" xfId="0" applyFont="1" applyFill="1" applyBorder="1" applyAlignment="1">
      <alignment horizontal="left" vertical="center" wrapText="1"/>
    </xf>
    <xf numFmtId="0" fontId="31" fillId="0" borderId="76" xfId="0" applyFont="1" applyFill="1" applyBorder="1" applyAlignment="1">
      <alignment horizontal="left" vertical="center" wrapText="1"/>
    </xf>
    <xf numFmtId="0" fontId="33" fillId="41" borderId="54" xfId="0" applyFont="1" applyFill="1" applyBorder="1" applyAlignment="1">
      <alignment horizontal="left" vertical="center" wrapText="1"/>
    </xf>
    <xf numFmtId="0" fontId="33" fillId="41" borderId="55" xfId="0" applyFont="1" applyFill="1" applyBorder="1" applyAlignment="1">
      <alignment horizontal="left" vertical="center" wrapText="1"/>
    </xf>
    <xf numFmtId="0" fontId="31" fillId="45" borderId="34" xfId="0" applyFont="1" applyFill="1" applyBorder="1" applyAlignment="1">
      <alignment horizontal="left" vertical="center" wrapText="1"/>
    </xf>
    <xf numFmtId="0" fontId="33" fillId="40" borderId="52" xfId="0" applyFont="1" applyFill="1" applyBorder="1" applyAlignment="1">
      <alignment horizontal="center" vertical="center"/>
    </xf>
    <xf numFmtId="0" fontId="33" fillId="40" borderId="48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left" vertical="center" wrapText="1"/>
    </xf>
    <xf numFmtId="0" fontId="31" fillId="0" borderId="78" xfId="0" applyFont="1" applyFill="1" applyBorder="1" applyAlignment="1">
      <alignment horizontal="left" vertical="center" wrapText="1"/>
    </xf>
    <xf numFmtId="198" fontId="33" fillId="39" borderId="0" xfId="0" applyNumberFormat="1" applyFont="1" applyFill="1" applyBorder="1" applyAlignment="1">
      <alignment horizontal="left" vertical="center"/>
    </xf>
    <xf numFmtId="0" fontId="33" fillId="41" borderId="48" xfId="0" applyFont="1" applyFill="1" applyBorder="1" applyAlignment="1">
      <alignment horizontal="left" vertical="center"/>
    </xf>
    <xf numFmtId="0" fontId="31" fillId="39" borderId="57" xfId="0" applyFont="1" applyFill="1" applyBorder="1" applyAlignment="1">
      <alignment horizontal="left" vertical="center" wrapText="1"/>
    </xf>
    <xf numFmtId="0" fontId="31" fillId="39" borderId="34" xfId="0" applyFont="1" applyFill="1" applyBorder="1" applyAlignment="1">
      <alignment horizontal="left" vertical="center" wrapText="1"/>
    </xf>
    <xf numFmtId="0" fontId="31" fillId="0" borderId="57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3" fillId="41" borderId="24" xfId="0" applyFont="1" applyFill="1" applyBorder="1" applyAlignment="1">
      <alignment horizontal="left" vertical="center" wrapText="1"/>
    </xf>
    <xf numFmtId="49" fontId="33" fillId="40" borderId="79" xfId="47" applyNumberFormat="1" applyFont="1" applyFill="1" applyBorder="1" applyAlignment="1">
      <alignment horizontal="center" vertical="center" wrapText="1"/>
    </xf>
    <xf numFmtId="49" fontId="33" fillId="40" borderId="80" xfId="47" applyNumberFormat="1" applyFont="1" applyFill="1" applyBorder="1" applyAlignment="1">
      <alignment horizontal="center" vertical="center" wrapText="1"/>
    </xf>
    <xf numFmtId="4" fontId="33" fillId="40" borderId="79" xfId="54" applyFont="1" applyFill="1" applyBorder="1" applyAlignment="1">
      <alignment horizontal="center" vertical="center" wrapText="1"/>
      <protection/>
    </xf>
    <xf numFmtId="4" fontId="33" fillId="40" borderId="80" xfId="54" applyFont="1" applyFill="1" applyBorder="1" applyAlignment="1">
      <alignment horizontal="center" vertical="center" wrapText="1"/>
      <protection/>
    </xf>
    <xf numFmtId="49" fontId="33" fillId="40" borderId="52" xfId="47" applyNumberFormat="1" applyFont="1" applyFill="1" applyBorder="1" applyAlignment="1">
      <alignment horizontal="center" vertical="center" wrapText="1"/>
    </xf>
    <xf numFmtId="49" fontId="33" fillId="40" borderId="49" xfId="47" applyNumberFormat="1" applyFont="1" applyFill="1" applyBorder="1" applyAlignment="1">
      <alignment horizontal="center" vertical="center" wrapText="1"/>
    </xf>
    <xf numFmtId="4" fontId="33" fillId="40" borderId="79" xfId="54" applyFont="1" applyFill="1" applyBorder="1" applyAlignment="1">
      <alignment horizontal="center" vertical="center"/>
      <protection/>
    </xf>
    <xf numFmtId="4" fontId="33" fillId="40" borderId="80" xfId="54" applyFont="1" applyFill="1" applyBorder="1" applyAlignment="1">
      <alignment horizontal="center" vertical="center"/>
      <protection/>
    </xf>
    <xf numFmtId="4" fontId="33" fillId="40" borderId="12" xfId="54" applyFont="1" applyFill="1" applyBorder="1" applyAlignment="1">
      <alignment horizontal="center" vertical="center"/>
      <protection/>
    </xf>
    <xf numFmtId="4" fontId="33" fillId="40" borderId="14" xfId="54" applyFont="1" applyFill="1" applyBorder="1" applyAlignment="1">
      <alignment horizontal="center" vertical="center"/>
      <protection/>
    </xf>
    <xf numFmtId="4" fontId="33" fillId="40" borderId="40" xfId="54" applyFont="1" applyFill="1" applyBorder="1" applyAlignment="1">
      <alignment horizontal="center" vertical="center"/>
      <protection/>
    </xf>
    <xf numFmtId="4" fontId="33" fillId="40" borderId="41" xfId="54" applyFont="1" applyFill="1" applyBorder="1" applyAlignment="1">
      <alignment horizontal="center" vertical="center"/>
      <protection/>
    </xf>
    <xf numFmtId="0" fontId="31" fillId="43" borderId="71" xfId="0" applyFont="1" applyFill="1" applyBorder="1" applyAlignment="1">
      <alignment horizontal="left" vertical="center" wrapText="1"/>
    </xf>
    <xf numFmtId="0" fontId="31" fillId="43" borderId="72" xfId="0" applyFont="1" applyFill="1" applyBorder="1" applyAlignment="1">
      <alignment horizontal="left" vertical="center" wrapText="1"/>
    </xf>
    <xf numFmtId="0" fontId="31" fillId="44" borderId="57" xfId="0" applyFont="1" applyFill="1" applyBorder="1" applyAlignment="1">
      <alignment horizontal="left" vertical="center" wrapText="1"/>
    </xf>
    <xf numFmtId="0" fontId="31" fillId="0" borderId="71" xfId="0" applyFont="1" applyBorder="1" applyAlignment="1">
      <alignment horizontal="left" vertical="center" wrapText="1"/>
    </xf>
    <xf numFmtId="0" fontId="31" fillId="0" borderId="72" xfId="0" applyFont="1" applyBorder="1" applyAlignment="1">
      <alignment horizontal="left" vertical="center" wrapText="1"/>
    </xf>
    <xf numFmtId="0" fontId="34" fillId="39" borderId="0" xfId="0" applyFont="1" applyFill="1" applyBorder="1" applyAlignment="1">
      <alignment horizontal="center" vertical="center"/>
    </xf>
    <xf numFmtId="0" fontId="31" fillId="44" borderId="71" xfId="0" applyFont="1" applyFill="1" applyBorder="1" applyAlignment="1">
      <alignment horizontal="left" vertical="center" wrapText="1"/>
    </xf>
    <xf numFmtId="0" fontId="31" fillId="44" borderId="72" xfId="0" applyFont="1" applyFill="1" applyBorder="1" applyAlignment="1">
      <alignment horizontal="left" vertical="center" wrapText="1"/>
    </xf>
    <xf numFmtId="0" fontId="34" fillId="39" borderId="20" xfId="0" applyFont="1" applyFill="1" applyBorder="1" applyAlignment="1">
      <alignment horizontal="center" vertical="center"/>
    </xf>
    <xf numFmtId="0" fontId="31" fillId="42" borderId="20" xfId="0" applyFont="1" applyFill="1" applyBorder="1" applyAlignment="1">
      <alignment horizontal="center" vertical="center"/>
    </xf>
    <xf numFmtId="0" fontId="31" fillId="42" borderId="48" xfId="0" applyFont="1" applyFill="1" applyBorder="1" applyAlignment="1">
      <alignment horizontal="center" vertical="center"/>
    </xf>
    <xf numFmtId="0" fontId="31" fillId="44" borderId="34" xfId="0" applyFont="1" applyFill="1" applyBorder="1" applyAlignment="1">
      <alignment horizontal="left" vertical="center" wrapText="1"/>
    </xf>
    <xf numFmtId="0" fontId="31" fillId="39" borderId="12" xfId="0" applyFont="1" applyFill="1" applyBorder="1" applyAlignment="1">
      <alignment horizontal="center" vertical="center"/>
    </xf>
    <xf numFmtId="0" fontId="31" fillId="39" borderId="13" xfId="0" applyFont="1" applyFill="1" applyBorder="1" applyAlignment="1">
      <alignment horizontal="center" vertical="center"/>
    </xf>
    <xf numFmtId="0" fontId="31" fillId="39" borderId="14" xfId="0" applyFont="1" applyFill="1" applyBorder="1" applyAlignment="1">
      <alignment horizontal="center" vertical="center"/>
    </xf>
    <xf numFmtId="0" fontId="34" fillId="39" borderId="0" xfId="0" applyFont="1" applyFill="1" applyBorder="1" applyAlignment="1">
      <alignment horizontal="center" vertical="center" wrapText="1"/>
    </xf>
    <xf numFmtId="0" fontId="31" fillId="44" borderId="73" xfId="0" applyFont="1" applyFill="1" applyBorder="1" applyAlignment="1">
      <alignment horizontal="left" vertical="center" wrapText="1"/>
    </xf>
    <xf numFmtId="0" fontId="31" fillId="44" borderId="74" xfId="0" applyFont="1" applyFill="1" applyBorder="1" applyAlignment="1">
      <alignment horizontal="left" vertical="center" wrapText="1"/>
    </xf>
    <xf numFmtId="0" fontId="30" fillId="39" borderId="12" xfId="0" applyFont="1" applyFill="1" applyBorder="1" applyAlignment="1">
      <alignment horizontal="center"/>
    </xf>
    <xf numFmtId="0" fontId="30" fillId="39" borderId="13" xfId="0" applyFont="1" applyFill="1" applyBorder="1" applyAlignment="1">
      <alignment horizontal="center"/>
    </xf>
    <xf numFmtId="0" fontId="30" fillId="39" borderId="14" xfId="0" applyFont="1" applyFill="1" applyBorder="1" applyAlignment="1">
      <alignment horizontal="center"/>
    </xf>
    <xf numFmtId="0" fontId="72" fillId="41" borderId="52" xfId="0" applyFont="1" applyFill="1" applyBorder="1" applyAlignment="1">
      <alignment horizontal="center"/>
    </xf>
    <xf numFmtId="0" fontId="72" fillId="41" borderId="48" xfId="0" applyFont="1" applyFill="1" applyBorder="1" applyAlignment="1">
      <alignment horizontal="center"/>
    </xf>
    <xf numFmtId="0" fontId="72" fillId="41" borderId="49" xfId="0" applyFont="1" applyFill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2" fillId="41" borderId="46" xfId="0" applyFont="1" applyFill="1" applyBorder="1" applyAlignment="1">
      <alignment horizontal="center"/>
    </xf>
    <xf numFmtId="0" fontId="72" fillId="41" borderId="81" xfId="0" applyFont="1" applyFill="1" applyBorder="1" applyAlignment="1">
      <alignment horizontal="center"/>
    </xf>
    <xf numFmtId="0" fontId="72" fillId="41" borderId="47" xfId="0" applyFont="1" applyFill="1" applyBorder="1" applyAlignment="1">
      <alignment horizontal="center"/>
    </xf>
    <xf numFmtId="14" fontId="27" fillId="46" borderId="31" xfId="0" applyNumberFormat="1" applyFont="1" applyFill="1" applyBorder="1" applyAlignment="1" applyProtection="1">
      <alignment horizontal="center"/>
      <protection locked="0"/>
    </xf>
    <xf numFmtId="14" fontId="27" fillId="46" borderId="18" xfId="0" applyNumberFormat="1" applyFont="1" applyFill="1" applyBorder="1" applyAlignment="1" applyProtection="1">
      <alignment horizontal="center"/>
      <protection locked="0"/>
    </xf>
    <xf numFmtId="0" fontId="27" fillId="0" borderId="17" xfId="0" applyFont="1" applyBorder="1" applyAlignment="1">
      <alignment horizontal="right"/>
    </xf>
    <xf numFmtId="49" fontId="27" fillId="46" borderId="17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>
      <alignment horizontal="right"/>
    </xf>
    <xf numFmtId="49" fontId="27" fillId="46" borderId="0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47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59" fillId="0" borderId="0" xfId="55" applyAlignment="1">
      <alignment horizontal="center"/>
      <protection/>
    </xf>
    <xf numFmtId="0" fontId="59" fillId="0" borderId="20" xfId="55" applyBorder="1" applyAlignment="1">
      <alignment horizontal="center"/>
      <protection/>
    </xf>
    <xf numFmtId="0" fontId="12" fillId="36" borderId="13" xfId="55" applyFont="1" applyFill="1" applyBorder="1" applyAlignment="1">
      <alignment horizontal="center" vertical="center"/>
      <protection/>
    </xf>
    <xf numFmtId="0" fontId="12" fillId="36" borderId="14" xfId="55" applyFont="1" applyFill="1" applyBorder="1" applyAlignment="1">
      <alignment horizontal="center" vertical="center"/>
      <protection/>
    </xf>
    <xf numFmtId="0" fontId="12" fillId="36" borderId="0" xfId="55" applyFont="1" applyFill="1" applyBorder="1" applyAlignment="1">
      <alignment horizontal="center" vertical="center"/>
      <protection/>
    </xf>
    <xf numFmtId="0" fontId="12" fillId="36" borderId="16" xfId="55" applyFont="1" applyFill="1" applyBorder="1" applyAlignment="1">
      <alignment horizontal="center" vertical="center"/>
      <protection/>
    </xf>
    <xf numFmtId="0" fontId="15" fillId="36" borderId="17" xfId="55" applyFont="1" applyFill="1" applyBorder="1" applyAlignment="1">
      <alignment horizontal="center" vertical="center" wrapText="1"/>
      <protection/>
    </xf>
    <xf numFmtId="0" fontId="15" fillId="36" borderId="82" xfId="55" applyFont="1" applyFill="1" applyBorder="1" applyAlignment="1">
      <alignment horizontal="center" vertical="center" wrapText="1"/>
      <protection/>
    </xf>
    <xf numFmtId="0" fontId="15" fillId="36" borderId="18" xfId="55" applyFont="1" applyFill="1" applyBorder="1" applyAlignment="1">
      <alignment horizontal="center" vertical="center" wrapText="1"/>
      <protection/>
    </xf>
    <xf numFmtId="0" fontId="15" fillId="36" borderId="83" xfId="55" applyFont="1" applyFill="1" applyBorder="1" applyAlignment="1">
      <alignment horizontal="center" vertical="center" wrapText="1"/>
      <protection/>
    </xf>
    <xf numFmtId="0" fontId="11" fillId="36" borderId="40" xfId="55" applyFont="1" applyFill="1" applyBorder="1" applyAlignment="1">
      <alignment horizontal="center" vertical="center" wrapText="1"/>
      <protection/>
    </xf>
    <xf numFmtId="0" fontId="11" fillId="36" borderId="20" xfId="55" applyFont="1" applyFill="1" applyBorder="1" applyAlignment="1">
      <alignment horizontal="center" vertical="center" wrapText="1"/>
      <protection/>
    </xf>
    <xf numFmtId="0" fontId="11" fillId="36" borderId="41" xfId="55" applyFont="1" applyFill="1" applyBorder="1" applyAlignment="1">
      <alignment horizontal="center" vertical="center" wrapText="1"/>
      <protection/>
    </xf>
    <xf numFmtId="49" fontId="17" fillId="36" borderId="19" xfId="55" applyNumberFormat="1" applyFont="1" applyFill="1" applyBorder="1" applyAlignment="1">
      <alignment horizontal="center" vertical="center" wrapText="1"/>
      <protection/>
    </xf>
    <xf numFmtId="192" fontId="6" fillId="0" borderId="84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85" xfId="55" applyFont="1" applyFill="1" applyBorder="1" applyAlignment="1">
      <alignment horizontal="center" vertical="center"/>
      <protection/>
    </xf>
    <xf numFmtId="0" fontId="59" fillId="0" borderId="0" xfId="55" applyAlignment="1">
      <alignment horizontal="center" vertical="center" wrapText="1"/>
      <protection/>
    </xf>
    <xf numFmtId="0" fontId="3" fillId="36" borderId="43" xfId="55" applyFont="1" applyFill="1" applyBorder="1" applyAlignment="1">
      <alignment horizontal="center" vertical="center"/>
      <protection/>
    </xf>
    <xf numFmtId="0" fontId="3" fillId="36" borderId="22" xfId="55" applyFont="1" applyFill="1" applyBorder="1" applyAlignment="1">
      <alignment horizontal="center" vertical="center"/>
      <protection/>
    </xf>
    <xf numFmtId="0" fontId="3" fillId="36" borderId="39" xfId="55" applyFont="1" applyFill="1" applyBorder="1" applyAlignment="1">
      <alignment horizontal="center" vertical="center"/>
      <protection/>
    </xf>
    <xf numFmtId="0" fontId="3" fillId="36" borderId="24" xfId="55" applyFont="1" applyFill="1" applyBorder="1" applyAlignment="1">
      <alignment horizontal="center" vertical="center"/>
      <protection/>
    </xf>
    <xf numFmtId="0" fontId="3" fillId="36" borderId="42" xfId="55" applyFont="1" applyFill="1" applyBorder="1" applyAlignment="1">
      <alignment horizontal="center" vertical="center"/>
      <protection/>
    </xf>
    <xf numFmtId="0" fontId="3" fillId="36" borderId="26" xfId="55" applyFont="1" applyFill="1" applyBorder="1" applyAlignment="1">
      <alignment horizontal="center" vertical="center"/>
      <protection/>
    </xf>
    <xf numFmtId="0" fontId="3" fillId="36" borderId="22" xfId="55" applyFont="1" applyFill="1" applyBorder="1" applyAlignment="1">
      <alignment horizontal="center"/>
      <protection/>
    </xf>
    <xf numFmtId="0" fontId="6" fillId="36" borderId="24" xfId="55" applyFont="1" applyFill="1" applyBorder="1" applyAlignment="1">
      <alignment horizontal="center"/>
      <protection/>
    </xf>
    <xf numFmtId="0" fontId="59" fillId="0" borderId="0" xfId="55" applyBorder="1" applyAlignment="1">
      <alignment horizontal="center"/>
      <protection/>
    </xf>
    <xf numFmtId="0" fontId="59" fillId="0" borderId="0" xfId="55" applyFont="1" applyBorder="1" applyAlignment="1">
      <alignment horizontal="center" wrapText="1"/>
      <protection/>
    </xf>
    <xf numFmtId="0" fontId="59" fillId="0" borderId="0" xfId="55" applyBorder="1" applyAlignment="1">
      <alignment horizontal="center" vertical="top"/>
      <protection/>
    </xf>
    <xf numFmtId="185" fontId="6" fillId="37" borderId="54" xfId="55" applyNumberFormat="1" applyFont="1" applyFill="1" applyBorder="1" applyAlignment="1">
      <alignment horizontal="center" vertical="center"/>
      <protection/>
    </xf>
    <xf numFmtId="185" fontId="6" fillId="37" borderId="55" xfId="55" applyNumberFormat="1" applyFont="1" applyFill="1" applyBorder="1" applyAlignment="1">
      <alignment horizontal="center" vertical="center"/>
      <protection/>
    </xf>
    <xf numFmtId="49" fontId="17" fillId="0" borderId="0" xfId="55" applyNumberFormat="1" applyFont="1" applyAlignment="1">
      <alignment horizontal="center" vertical="center"/>
      <protection/>
    </xf>
    <xf numFmtId="0" fontId="17" fillId="0" borderId="0" xfId="55" applyFont="1" applyAlignment="1">
      <alignment horizontal="center" vertical="center"/>
      <protection/>
    </xf>
    <xf numFmtId="0" fontId="15" fillId="0" borderId="0" xfId="55" applyFont="1" applyAlignment="1">
      <alignment horizontal="center"/>
      <protection/>
    </xf>
    <xf numFmtId="0" fontId="25" fillId="0" borderId="0" xfId="55" applyFont="1" applyAlignment="1">
      <alignment horizontal="center" vertical="center" wrapText="1"/>
      <protection/>
    </xf>
    <xf numFmtId="49" fontId="59" fillId="0" borderId="0" xfId="55" applyNumberFormat="1" applyAlignment="1">
      <alignment horizontal="center" vertical="center" wrapText="1"/>
      <protection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Percent" xfId="44"/>
    <cellStyle name="Hyperlink" xfId="45"/>
    <cellStyle name="Followed Hyperlink" xfId="46"/>
    <cellStyle name="Currency" xfId="47"/>
    <cellStyle name="Currency [0]" xfId="48"/>
    <cellStyle name="Moeda 2" xfId="49"/>
    <cellStyle name="Moeda 4" xfId="50"/>
    <cellStyle name="Neutro" xfId="51"/>
    <cellStyle name="Normal 2" xfId="52"/>
    <cellStyle name="Normal 2 2" xfId="53"/>
    <cellStyle name="Normal 3" xfId="54"/>
    <cellStyle name="Normal 5" xfId="55"/>
    <cellStyle name="Nota" xfId="56"/>
    <cellStyle name="Percent" xfId="57"/>
    <cellStyle name="Ruim" xfId="58"/>
    <cellStyle name="Saída" xfId="59"/>
    <cellStyle name="Comma [0]" xfId="60"/>
    <cellStyle name="Separador de milhares 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66675</xdr:rowOff>
    </xdr:from>
    <xdr:to>
      <xdr:col>5</xdr:col>
      <xdr:colOff>19050</xdr:colOff>
      <xdr:row>5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66675"/>
          <a:ext cx="6229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400050</xdr:colOff>
      <xdr:row>2</xdr:row>
      <xdr:rowOff>209550</xdr:rowOff>
    </xdr:from>
    <xdr:to>
      <xdr:col>8</xdr:col>
      <xdr:colOff>200025</xdr:colOff>
      <xdr:row>6</xdr:row>
      <xdr:rowOff>200025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rcRect r="86987"/>
        <a:stretch>
          <a:fillRect/>
        </a:stretch>
      </xdr:blipFill>
      <xdr:spPr>
        <a:xfrm>
          <a:off x="7696200" y="1171575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MC\AppData\Local\Microsoft\Windows\INetCache\IE\ZO02BSO5\785975%20PM%20ASFAL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203"/>
  <sheetViews>
    <sheetView tabSelected="1" view="pageBreakPreview" zoomScaleSheetLayoutView="100" zoomScalePageLayoutView="0" workbookViewId="0" topLeftCell="A196">
      <selection activeCell="I208" sqref="I208"/>
    </sheetView>
  </sheetViews>
  <sheetFormatPr defaultColWidth="9.140625" defaultRowHeight="15"/>
  <cols>
    <col min="1" max="1" width="4.7109375" style="156" customWidth="1"/>
    <col min="2" max="2" width="8.140625" style="156" customWidth="1"/>
    <col min="3" max="3" width="10.421875" style="285" customWidth="1"/>
    <col min="4" max="4" width="24.00390625" style="156" customWidth="1"/>
    <col min="5" max="5" width="60.140625" style="156" customWidth="1"/>
    <col min="6" max="6" width="8.140625" style="285" customWidth="1"/>
    <col min="7" max="7" width="13.8515625" style="285" customWidth="1"/>
    <col min="8" max="8" width="14.00390625" style="284" customWidth="1"/>
    <col min="9" max="9" width="14.00390625" style="156" customWidth="1"/>
    <col min="10" max="10" width="19.140625" style="156" customWidth="1"/>
    <col min="11" max="11" width="15.421875" style="156" customWidth="1"/>
    <col min="12" max="16384" width="9.140625" style="156" customWidth="1"/>
  </cols>
  <sheetData>
    <row r="1" spans="1:10" ht="15.75">
      <c r="A1" s="342"/>
      <c r="B1" s="343"/>
      <c r="C1" s="343"/>
      <c r="D1" s="343"/>
      <c r="E1" s="343"/>
      <c r="F1" s="344"/>
      <c r="G1" s="336" t="s">
        <v>241</v>
      </c>
      <c r="H1" s="337"/>
      <c r="I1" s="337"/>
      <c r="J1" s="338"/>
    </row>
    <row r="2" spans="1:10" ht="14.25">
      <c r="A2" s="159"/>
      <c r="B2" s="160"/>
      <c r="C2" s="160"/>
      <c r="D2" s="160"/>
      <c r="E2" s="157"/>
      <c r="F2" s="161"/>
      <c r="G2" s="162"/>
      <c r="H2" s="329" t="s">
        <v>233</v>
      </c>
      <c r="I2" s="329"/>
      <c r="J2" s="158"/>
    </row>
    <row r="3" spans="1:10" ht="15" customHeight="1">
      <c r="A3" s="159"/>
      <c r="B3" s="160"/>
      <c r="C3" s="160"/>
      <c r="D3" s="160"/>
      <c r="E3" s="157"/>
      <c r="F3" s="161"/>
      <c r="G3" s="157"/>
      <c r="H3" s="339" t="s">
        <v>292</v>
      </c>
      <c r="I3" s="339"/>
      <c r="J3" s="158"/>
    </row>
    <row r="4" spans="1:10" ht="12.75">
      <c r="A4" s="159"/>
      <c r="B4" s="157"/>
      <c r="C4" s="157"/>
      <c r="D4" s="157"/>
      <c r="E4" s="164"/>
      <c r="F4" s="165"/>
      <c r="G4" s="163"/>
      <c r="H4" s="329" t="s">
        <v>129</v>
      </c>
      <c r="I4" s="329"/>
      <c r="J4" s="166">
        <v>0.329</v>
      </c>
    </row>
    <row r="5" spans="1:10" ht="12.75">
      <c r="A5" s="159"/>
      <c r="B5" s="163"/>
      <c r="C5" s="163"/>
      <c r="D5" s="163"/>
      <c r="E5" s="163"/>
      <c r="F5" s="161"/>
      <c r="G5" s="157"/>
      <c r="H5" s="329" t="s">
        <v>130</v>
      </c>
      <c r="I5" s="329"/>
      <c r="J5" s="166">
        <v>0.2073</v>
      </c>
    </row>
    <row r="6" spans="1:10" ht="13.5" thickBot="1">
      <c r="A6" s="167"/>
      <c r="B6" s="168"/>
      <c r="C6" s="168"/>
      <c r="D6" s="168"/>
      <c r="E6" s="168"/>
      <c r="F6" s="169"/>
      <c r="G6" s="168"/>
      <c r="H6" s="332" t="s">
        <v>143</v>
      </c>
      <c r="I6" s="332"/>
      <c r="J6" s="170">
        <v>0.15</v>
      </c>
    </row>
    <row r="7" spans="1:10" ht="4.5" customHeight="1" thickBot="1">
      <c r="A7" s="333"/>
      <c r="B7" s="333"/>
      <c r="C7" s="333"/>
      <c r="D7" s="333"/>
      <c r="E7" s="333"/>
      <c r="F7" s="333"/>
      <c r="G7" s="334"/>
      <c r="H7" s="334"/>
      <c r="I7" s="334"/>
      <c r="J7" s="334"/>
    </row>
    <row r="8" spans="1:10" ht="13.5" customHeight="1" thickBot="1">
      <c r="A8" s="318" t="s">
        <v>35</v>
      </c>
      <c r="B8" s="318" t="s">
        <v>117</v>
      </c>
      <c r="C8" s="318" t="s">
        <v>34</v>
      </c>
      <c r="D8" s="320" t="s">
        <v>33</v>
      </c>
      <c r="E8" s="321"/>
      <c r="F8" s="318" t="s">
        <v>32</v>
      </c>
      <c r="G8" s="314" t="s">
        <v>101</v>
      </c>
      <c r="H8" s="316" t="s">
        <v>115</v>
      </c>
      <c r="I8" s="317"/>
      <c r="J8" s="312" t="s">
        <v>100</v>
      </c>
    </row>
    <row r="9" spans="1:10" ht="13.5" customHeight="1" thickBot="1">
      <c r="A9" s="319"/>
      <c r="B9" s="319"/>
      <c r="C9" s="319"/>
      <c r="D9" s="322"/>
      <c r="E9" s="323"/>
      <c r="F9" s="319"/>
      <c r="G9" s="315"/>
      <c r="H9" s="171" t="s">
        <v>116</v>
      </c>
      <c r="I9" s="172" t="s">
        <v>126</v>
      </c>
      <c r="J9" s="313"/>
    </row>
    <row r="10" spans="1:10" ht="15.75" customHeight="1" hidden="1" thickBot="1">
      <c r="A10" s="301" t="s">
        <v>237</v>
      </c>
      <c r="B10" s="302"/>
      <c r="C10" s="302"/>
      <c r="D10" s="302"/>
      <c r="E10" s="302"/>
      <c r="F10" s="302"/>
      <c r="G10" s="173"/>
      <c r="H10" s="174"/>
      <c r="I10" s="173"/>
      <c r="J10" s="175"/>
    </row>
    <row r="11" spans="1:10" ht="13.5" hidden="1" thickBot="1">
      <c r="A11" s="176">
        <v>1</v>
      </c>
      <c r="B11" s="177"/>
      <c r="C11" s="178"/>
      <c r="D11" s="179" t="s">
        <v>98</v>
      </c>
      <c r="E11" s="180"/>
      <c r="F11" s="178"/>
      <c r="G11" s="178"/>
      <c r="H11" s="181"/>
      <c r="I11" s="182"/>
      <c r="J11" s="183"/>
    </row>
    <row r="12" spans="1:10" ht="13.5" hidden="1" thickBot="1">
      <c r="A12" s="184" t="s">
        <v>36</v>
      </c>
      <c r="B12" s="185" t="s">
        <v>119</v>
      </c>
      <c r="C12" s="186" t="s">
        <v>118</v>
      </c>
      <c r="D12" s="187" t="s">
        <v>102</v>
      </c>
      <c r="E12" s="185"/>
      <c r="F12" s="185" t="s">
        <v>52</v>
      </c>
      <c r="G12" s="188">
        <f>2*1.25</f>
        <v>2.5</v>
      </c>
      <c r="H12" s="189">
        <v>318.11</v>
      </c>
      <c r="I12" s="189">
        <f>ROUND((H12*(1+$J$5)),2)</f>
        <v>384.05</v>
      </c>
      <c r="J12" s="190">
        <f>G12*I12</f>
        <v>960.125</v>
      </c>
    </row>
    <row r="13" spans="1:10" ht="25.5" customHeight="1" hidden="1">
      <c r="A13" s="184" t="s">
        <v>37</v>
      </c>
      <c r="B13" s="185" t="s">
        <v>120</v>
      </c>
      <c r="C13" s="185" t="s">
        <v>275</v>
      </c>
      <c r="D13" s="327" t="s">
        <v>309</v>
      </c>
      <c r="E13" s="328"/>
      <c r="F13" s="185" t="s">
        <v>99</v>
      </c>
      <c r="G13" s="188">
        <v>36</v>
      </c>
      <c r="H13" s="189">
        <v>261.67</v>
      </c>
      <c r="I13" s="189">
        <f>ROUND((H13*(1+$J$4)),2)</f>
        <v>347.76</v>
      </c>
      <c r="J13" s="190">
        <f>G13*I13</f>
        <v>12519.36</v>
      </c>
    </row>
    <row r="14" spans="1:10" ht="13.5" hidden="1" thickBot="1">
      <c r="A14" s="184" t="s">
        <v>40</v>
      </c>
      <c r="B14" s="185" t="s">
        <v>119</v>
      </c>
      <c r="C14" s="186">
        <v>78472</v>
      </c>
      <c r="D14" s="187" t="s">
        <v>39</v>
      </c>
      <c r="E14" s="185"/>
      <c r="F14" s="185" t="s">
        <v>52</v>
      </c>
      <c r="G14" s="188">
        <f>(G20+G64+G105+G139)/2</f>
        <v>19113.17</v>
      </c>
      <c r="H14" s="189">
        <v>0.41</v>
      </c>
      <c r="I14" s="189">
        <f>ROUND((H14*(1+$J$5)),2)</f>
        <v>0.49</v>
      </c>
      <c r="J14" s="190">
        <f>G14*I14</f>
        <v>9365.4533</v>
      </c>
    </row>
    <row r="15" spans="1:10" ht="13.5" hidden="1" thickBot="1">
      <c r="A15" s="184" t="s">
        <v>238</v>
      </c>
      <c r="B15" s="185" t="s">
        <v>119</v>
      </c>
      <c r="C15" s="186" t="s">
        <v>239</v>
      </c>
      <c r="D15" s="187" t="s">
        <v>240</v>
      </c>
      <c r="E15" s="185"/>
      <c r="F15" s="185" t="s">
        <v>99</v>
      </c>
      <c r="G15" s="188">
        <v>60</v>
      </c>
      <c r="H15" s="189">
        <v>100.92</v>
      </c>
      <c r="I15" s="189">
        <f>ROUND((H15*(1+$J$5)),2)</f>
        <v>121.84</v>
      </c>
      <c r="J15" s="190">
        <f>G15*I15</f>
        <v>7310.400000000001</v>
      </c>
    </row>
    <row r="16" spans="1:10" ht="13.5" hidden="1" thickBot="1">
      <c r="A16" s="191"/>
      <c r="B16" s="192"/>
      <c r="C16" s="193"/>
      <c r="D16" s="306" t="s">
        <v>113</v>
      </c>
      <c r="E16" s="306"/>
      <c r="F16" s="194"/>
      <c r="G16" s="194"/>
      <c r="H16" s="195"/>
      <c r="I16" s="196"/>
      <c r="J16" s="197">
        <f>SUM(J12:J15)</f>
        <v>30155.338300000003</v>
      </c>
    </row>
    <row r="17" spans="1:10" ht="13.5" hidden="1" thickBot="1">
      <c r="A17" s="198"/>
      <c r="B17" s="198"/>
      <c r="C17" s="199"/>
      <c r="D17" s="200"/>
      <c r="E17" s="200"/>
      <c r="F17" s="201"/>
      <c r="G17" s="201"/>
      <c r="H17" s="202"/>
      <c r="I17" s="203"/>
      <c r="J17" s="203"/>
    </row>
    <row r="18" spans="1:10" ht="15.75" customHeight="1" hidden="1" thickBot="1">
      <c r="A18" s="301" t="s">
        <v>234</v>
      </c>
      <c r="B18" s="302"/>
      <c r="C18" s="302"/>
      <c r="D18" s="302"/>
      <c r="E18" s="302"/>
      <c r="F18" s="302"/>
      <c r="G18" s="173" t="s">
        <v>221</v>
      </c>
      <c r="H18" s="174">
        <v>1040.51</v>
      </c>
      <c r="I18" s="173" t="s">
        <v>220</v>
      </c>
      <c r="J18" s="175">
        <v>7</v>
      </c>
    </row>
    <row r="19" spans="1:10" ht="13.5" hidden="1" thickBot="1">
      <c r="A19" s="204">
        <v>2</v>
      </c>
      <c r="B19" s="205"/>
      <c r="C19" s="206"/>
      <c r="D19" s="207" t="s">
        <v>103</v>
      </c>
      <c r="E19" s="208"/>
      <c r="F19" s="206"/>
      <c r="G19" s="209"/>
      <c r="H19" s="210"/>
      <c r="I19" s="211"/>
      <c r="J19" s="212"/>
    </row>
    <row r="20" spans="1:10" ht="12.75" customHeight="1" hidden="1">
      <c r="A20" s="213" t="s">
        <v>61</v>
      </c>
      <c r="B20" s="214" t="s">
        <v>119</v>
      </c>
      <c r="C20" s="214" t="s">
        <v>121</v>
      </c>
      <c r="D20" s="303" t="s">
        <v>265</v>
      </c>
      <c r="E20" s="304"/>
      <c r="F20" s="214" t="s">
        <v>52</v>
      </c>
      <c r="G20" s="215">
        <f>(7773*2)+(657.26*2)</f>
        <v>16860.52</v>
      </c>
      <c r="H20" s="216">
        <v>0.59</v>
      </c>
      <c r="I20" s="189">
        <f>ROUND((H20*(1+$J$5)),2)</f>
        <v>0.71</v>
      </c>
      <c r="J20" s="190">
        <f aca="true" t="shared" si="0" ref="J20:J28">G20*I20</f>
        <v>11970.9692</v>
      </c>
    </row>
    <row r="21" spans="1:10" ht="12.75" customHeight="1" hidden="1">
      <c r="A21" s="217" t="s">
        <v>64</v>
      </c>
      <c r="B21" s="186" t="s">
        <v>122</v>
      </c>
      <c r="C21" s="186"/>
      <c r="D21" s="324" t="s">
        <v>264</v>
      </c>
      <c r="E21" s="325"/>
      <c r="F21" s="186" t="s">
        <v>53</v>
      </c>
      <c r="G21" s="218">
        <f>0.5*(G20)/1000</f>
        <v>8.43026</v>
      </c>
      <c r="H21" s="219">
        <f>1.92379*1000*1.18</f>
        <v>2270.0721999999996</v>
      </c>
      <c r="I21" s="189">
        <f>ROUND((H21*(1+$J$6)),2)</f>
        <v>2610.58</v>
      </c>
      <c r="J21" s="190">
        <f t="shared" si="0"/>
        <v>22007.8681508</v>
      </c>
    </row>
    <row r="22" spans="1:10" ht="12.75" customHeight="1" hidden="1">
      <c r="A22" s="217" t="s">
        <v>65</v>
      </c>
      <c r="B22" s="186" t="s">
        <v>119</v>
      </c>
      <c r="C22" s="186">
        <v>93176</v>
      </c>
      <c r="D22" s="286" t="s">
        <v>272</v>
      </c>
      <c r="E22" s="287"/>
      <c r="F22" s="186" t="s">
        <v>125</v>
      </c>
      <c r="G22" s="218">
        <f>(G21)*305</f>
        <v>2571.2293</v>
      </c>
      <c r="H22" s="189">
        <v>0.47</v>
      </c>
      <c r="I22" s="189">
        <f>ROUND((H22*(1+$J$6)),2)</f>
        <v>0.54</v>
      </c>
      <c r="J22" s="190">
        <f t="shared" si="0"/>
        <v>1388.4638220000002</v>
      </c>
    </row>
    <row r="23" spans="1:10" ht="30" customHeight="1" hidden="1">
      <c r="A23" s="217" t="s">
        <v>66</v>
      </c>
      <c r="B23" s="186" t="s">
        <v>119</v>
      </c>
      <c r="C23" s="186">
        <v>95990</v>
      </c>
      <c r="D23" s="286" t="s">
        <v>261</v>
      </c>
      <c r="E23" s="287"/>
      <c r="F23" s="220" t="s">
        <v>124</v>
      </c>
      <c r="G23" s="218">
        <f>(G20/2)*0.025</f>
        <v>210.75650000000002</v>
      </c>
      <c r="H23" s="221">
        <v>669</v>
      </c>
      <c r="I23" s="189">
        <f>ROUND((H23*(1+$J$5)),2)</f>
        <v>807.68</v>
      </c>
      <c r="J23" s="190">
        <f t="shared" si="0"/>
        <v>170223.80992</v>
      </c>
    </row>
    <row r="24" spans="1:10" ht="30" customHeight="1" hidden="1">
      <c r="A24" s="217" t="s">
        <v>38</v>
      </c>
      <c r="B24" s="186" t="s">
        <v>119</v>
      </c>
      <c r="C24" s="186">
        <v>95993</v>
      </c>
      <c r="D24" s="286" t="s">
        <v>131</v>
      </c>
      <c r="E24" s="287"/>
      <c r="F24" s="220" t="s">
        <v>124</v>
      </c>
      <c r="G24" s="218">
        <f>(G20/2)*0.04</f>
        <v>337.2104</v>
      </c>
      <c r="H24" s="221">
        <v>629.7</v>
      </c>
      <c r="I24" s="189">
        <f>ROUND((H24*(1+$J$5)),2)</f>
        <v>760.24</v>
      </c>
      <c r="J24" s="190">
        <f t="shared" si="0"/>
        <v>256360.834496</v>
      </c>
    </row>
    <row r="25" spans="1:10" ht="30" customHeight="1" hidden="1">
      <c r="A25" s="217" t="s">
        <v>67</v>
      </c>
      <c r="B25" s="186" t="s">
        <v>119</v>
      </c>
      <c r="C25" s="186">
        <v>72891</v>
      </c>
      <c r="D25" s="286" t="s">
        <v>267</v>
      </c>
      <c r="E25" s="287"/>
      <c r="F25" s="220" t="s">
        <v>124</v>
      </c>
      <c r="G25" s="218">
        <f>G23+G24</f>
        <v>547.9669</v>
      </c>
      <c r="H25" s="189">
        <v>5.92</v>
      </c>
      <c r="I25" s="189">
        <f>ROUND((H25*(1+$J$5)),2)</f>
        <v>7.15</v>
      </c>
      <c r="J25" s="190">
        <f>G25*I25</f>
        <v>3917.9633350000004</v>
      </c>
    </row>
    <row r="26" spans="1:10" ht="12.75" customHeight="1" hidden="1">
      <c r="A26" s="217" t="s">
        <v>68</v>
      </c>
      <c r="B26" s="186" t="s">
        <v>119</v>
      </c>
      <c r="C26" s="186">
        <v>95303</v>
      </c>
      <c r="D26" s="286" t="s">
        <v>268</v>
      </c>
      <c r="E26" s="287"/>
      <c r="F26" s="220" t="s">
        <v>269</v>
      </c>
      <c r="G26" s="218">
        <f>G25*105</f>
        <v>57536.5245</v>
      </c>
      <c r="H26" s="189">
        <v>1.03</v>
      </c>
      <c r="I26" s="189">
        <f>ROUND((H26*(1+$J$6)),2)</f>
        <v>1.18</v>
      </c>
      <c r="J26" s="190">
        <f t="shared" si="0"/>
        <v>67893.09891</v>
      </c>
    </row>
    <row r="27" spans="1:10" ht="12.75" customHeight="1" hidden="1">
      <c r="A27" s="217" t="s">
        <v>127</v>
      </c>
      <c r="B27" s="186" t="s">
        <v>122</v>
      </c>
      <c r="C27" s="186"/>
      <c r="D27" s="324" t="s">
        <v>270</v>
      </c>
      <c r="E27" s="325"/>
      <c r="F27" s="186" t="s">
        <v>53</v>
      </c>
      <c r="G27" s="218">
        <f>(G23+G24)*2.5548*6%</f>
        <v>83.9967501672</v>
      </c>
      <c r="H27" s="219">
        <f>2.67518*1000*1.18</f>
        <v>3156.7124000000003</v>
      </c>
      <c r="I27" s="189">
        <f>ROUND((H27*(1+$J$6)),2)</f>
        <v>3630.22</v>
      </c>
      <c r="J27" s="190">
        <f t="shared" si="0"/>
        <v>304926.6823919728</v>
      </c>
    </row>
    <row r="28" spans="1:10" ht="12.75" customHeight="1" hidden="1">
      <c r="A28" s="222" t="s">
        <v>266</v>
      </c>
      <c r="B28" s="223" t="s">
        <v>119</v>
      </c>
      <c r="C28" s="223">
        <v>93176</v>
      </c>
      <c r="D28" s="296" t="s">
        <v>273</v>
      </c>
      <c r="E28" s="297"/>
      <c r="F28" s="223" t="s">
        <v>125</v>
      </c>
      <c r="G28" s="224">
        <f>G27*305</f>
        <v>25619.008800996</v>
      </c>
      <c r="H28" s="225">
        <v>0.47</v>
      </c>
      <c r="I28" s="189">
        <f>ROUND((H28*(1+$J$6)),2)</f>
        <v>0.54</v>
      </c>
      <c r="J28" s="190">
        <f t="shared" si="0"/>
        <v>13834.264752537842</v>
      </c>
    </row>
    <row r="29" spans="1:10" ht="13.5" hidden="1" thickBot="1">
      <c r="A29" s="204">
        <v>3</v>
      </c>
      <c r="B29" s="205"/>
      <c r="C29" s="206"/>
      <c r="D29" s="311" t="s">
        <v>42</v>
      </c>
      <c r="E29" s="311"/>
      <c r="F29" s="206" t="s">
        <v>54</v>
      </c>
      <c r="G29" s="209"/>
      <c r="H29" s="210"/>
      <c r="I29" s="211"/>
      <c r="J29" s="212"/>
    </row>
    <row r="30" spans="1:10" ht="30.75" customHeight="1" hidden="1">
      <c r="A30" s="213" t="s">
        <v>57</v>
      </c>
      <c r="B30" s="186" t="s">
        <v>119</v>
      </c>
      <c r="C30" s="186">
        <v>95993</v>
      </c>
      <c r="D30" s="309" t="s">
        <v>291</v>
      </c>
      <c r="E30" s="309"/>
      <c r="F30" s="214" t="s">
        <v>124</v>
      </c>
      <c r="G30" s="215">
        <f>(11.9*5*0.15)*(1)</f>
        <v>8.924999999999999</v>
      </c>
      <c r="H30" s="221">
        <v>629.7</v>
      </c>
      <c r="I30" s="189">
        <f>ROUND((H30*(1+$J$5)),2)</f>
        <v>760.24</v>
      </c>
      <c r="J30" s="190">
        <f aca="true" t="shared" si="1" ref="J30:J35">G30*I30</f>
        <v>6785.141999999999</v>
      </c>
    </row>
    <row r="31" spans="1:10" ht="30" customHeight="1" hidden="1">
      <c r="A31" s="217" t="s">
        <v>58</v>
      </c>
      <c r="B31" s="186" t="s">
        <v>119</v>
      </c>
      <c r="C31" s="186">
        <v>72891</v>
      </c>
      <c r="D31" s="286" t="s">
        <v>267</v>
      </c>
      <c r="E31" s="287"/>
      <c r="F31" s="220" t="s">
        <v>124</v>
      </c>
      <c r="G31" s="218">
        <f>G30</f>
        <v>8.924999999999999</v>
      </c>
      <c r="H31" s="189">
        <v>5.92</v>
      </c>
      <c r="I31" s="189">
        <f>ROUND((H31*(1+$J$5)),2)</f>
        <v>7.15</v>
      </c>
      <c r="J31" s="190">
        <f t="shared" si="1"/>
        <v>63.81375</v>
      </c>
    </row>
    <row r="32" spans="1:10" ht="12.75" customHeight="1" hidden="1">
      <c r="A32" s="217" t="s">
        <v>59</v>
      </c>
      <c r="B32" s="186" t="s">
        <v>119</v>
      </c>
      <c r="C32" s="186">
        <v>95303</v>
      </c>
      <c r="D32" s="286" t="s">
        <v>268</v>
      </c>
      <c r="E32" s="287"/>
      <c r="F32" s="220" t="s">
        <v>269</v>
      </c>
      <c r="G32" s="218">
        <f>G31*105</f>
        <v>937.1249999999999</v>
      </c>
      <c r="H32" s="189">
        <v>1.03</v>
      </c>
      <c r="I32" s="189">
        <f>ROUND((H32*(1+$J$6)),2)</f>
        <v>1.18</v>
      </c>
      <c r="J32" s="190">
        <f t="shared" si="1"/>
        <v>1105.8075</v>
      </c>
    </row>
    <row r="33" spans="1:10" ht="12.75" customHeight="1" hidden="1">
      <c r="A33" s="217" t="s">
        <v>60</v>
      </c>
      <c r="B33" s="186" t="s">
        <v>122</v>
      </c>
      <c r="C33" s="186"/>
      <c r="D33" s="324" t="s">
        <v>270</v>
      </c>
      <c r="E33" s="325"/>
      <c r="F33" s="220" t="s">
        <v>53</v>
      </c>
      <c r="G33" s="218">
        <f>G30*2.5548*6%</f>
        <v>1.3680953999999999</v>
      </c>
      <c r="H33" s="189">
        <f>2.67518*1000*1.18</f>
        <v>3156.7124000000003</v>
      </c>
      <c r="I33" s="189">
        <f>ROUND((H33*(1+$J$6)),2)</f>
        <v>3630.22</v>
      </c>
      <c r="J33" s="190">
        <f t="shared" si="1"/>
        <v>4966.487282988</v>
      </c>
    </row>
    <row r="34" spans="1:10" ht="12.75" customHeight="1" hidden="1">
      <c r="A34" s="217" t="s">
        <v>271</v>
      </c>
      <c r="B34" s="186" t="s">
        <v>119</v>
      </c>
      <c r="C34" s="186">
        <v>93176</v>
      </c>
      <c r="D34" s="286" t="s">
        <v>273</v>
      </c>
      <c r="E34" s="287"/>
      <c r="F34" s="220" t="s">
        <v>125</v>
      </c>
      <c r="G34" s="218">
        <f>G33*305</f>
        <v>417.26909699999993</v>
      </c>
      <c r="H34" s="189">
        <v>0.47</v>
      </c>
      <c r="I34" s="189">
        <f>ROUND((H34*(1+$J$6)),2)</f>
        <v>0.54</v>
      </c>
      <c r="J34" s="190">
        <f t="shared" si="1"/>
        <v>225.32531237999999</v>
      </c>
    </row>
    <row r="35" spans="1:10" ht="13.5" hidden="1" thickBot="1">
      <c r="A35" s="217" t="s">
        <v>287</v>
      </c>
      <c r="B35" s="226" t="s">
        <v>140</v>
      </c>
      <c r="C35" s="223">
        <v>9836</v>
      </c>
      <c r="D35" s="310" t="s">
        <v>288</v>
      </c>
      <c r="E35" s="310"/>
      <c r="F35" s="223" t="s">
        <v>154</v>
      </c>
      <c r="G35" s="224">
        <v>12</v>
      </c>
      <c r="H35" s="225">
        <v>9.21</v>
      </c>
      <c r="I35" s="189">
        <f>ROUND((H35*(1+$J$6)),2)</f>
        <v>10.59</v>
      </c>
      <c r="J35" s="190">
        <f t="shared" si="1"/>
        <v>127.08</v>
      </c>
    </row>
    <row r="36" spans="1:10" ht="15" customHeight="1" hidden="1">
      <c r="A36" s="204">
        <v>4</v>
      </c>
      <c r="B36" s="205"/>
      <c r="C36" s="206"/>
      <c r="D36" s="311" t="s">
        <v>44</v>
      </c>
      <c r="E36" s="311"/>
      <c r="F36" s="206" t="s">
        <v>54</v>
      </c>
      <c r="G36" s="209"/>
      <c r="H36" s="227"/>
      <c r="I36" s="227"/>
      <c r="J36" s="228"/>
    </row>
    <row r="37" spans="1:10" ht="15" customHeight="1" hidden="1">
      <c r="A37" s="217" t="s">
        <v>62</v>
      </c>
      <c r="B37" s="186" t="s">
        <v>120</v>
      </c>
      <c r="C37" s="186" t="s">
        <v>51</v>
      </c>
      <c r="D37" s="292" t="s">
        <v>45</v>
      </c>
      <c r="E37" s="292"/>
      <c r="F37" s="186" t="s">
        <v>55</v>
      </c>
      <c r="G37" s="188">
        <f>ROUNDUP((G20/2)/700,0)</f>
        <v>13</v>
      </c>
      <c r="H37" s="189">
        <f>191*1.52</f>
        <v>290.32</v>
      </c>
      <c r="I37" s="189">
        <f>ROUND((H37*(1+$J$4)),2)</f>
        <v>385.84</v>
      </c>
      <c r="J37" s="190">
        <f>G37*I37</f>
        <v>5015.92</v>
      </c>
    </row>
    <row r="38" spans="1:10" ht="15" customHeight="1" hidden="1">
      <c r="A38" s="217" t="s">
        <v>69</v>
      </c>
      <c r="B38" s="186" t="s">
        <v>120</v>
      </c>
      <c r="C38" s="186" t="s">
        <v>50</v>
      </c>
      <c r="D38" s="292" t="s">
        <v>274</v>
      </c>
      <c r="E38" s="292"/>
      <c r="F38" s="186" t="s">
        <v>55</v>
      </c>
      <c r="G38" s="229">
        <f>ROUNDUP((G20/2)/700,0)</f>
        <v>13</v>
      </c>
      <c r="H38" s="189">
        <v>175.4</v>
      </c>
      <c r="I38" s="189">
        <f>ROUND((H38*(1+$J$4)),2)</f>
        <v>233.11</v>
      </c>
      <c r="J38" s="190">
        <f>G38*I38</f>
        <v>3030.4300000000003</v>
      </c>
    </row>
    <row r="39" spans="1:10" ht="15" customHeight="1" hidden="1">
      <c r="A39" s="204">
        <v>5</v>
      </c>
      <c r="B39" s="205"/>
      <c r="C39" s="206"/>
      <c r="D39" s="311" t="s">
        <v>43</v>
      </c>
      <c r="E39" s="311"/>
      <c r="F39" s="206" t="s">
        <v>54</v>
      </c>
      <c r="G39" s="230"/>
      <c r="H39" s="227"/>
      <c r="I39" s="227"/>
      <c r="J39" s="228"/>
    </row>
    <row r="40" spans="1:10" ht="30.75" customHeight="1" hidden="1">
      <c r="A40" s="213" t="s">
        <v>63</v>
      </c>
      <c r="B40" s="214" t="s">
        <v>120</v>
      </c>
      <c r="C40" s="214">
        <v>7262</v>
      </c>
      <c r="D40" s="292" t="s">
        <v>46</v>
      </c>
      <c r="E40" s="292"/>
      <c r="F40" s="186" t="s">
        <v>52</v>
      </c>
      <c r="G40" s="188">
        <f>(743.12*2*0.1)+3</f>
        <v>151.624</v>
      </c>
      <c r="H40" s="189">
        <v>20.32</v>
      </c>
      <c r="I40" s="189">
        <f>ROUND((H40*(1+$J$4)),2)</f>
        <v>27.01</v>
      </c>
      <c r="J40" s="190">
        <f>G40*I40</f>
        <v>4095.36424</v>
      </c>
    </row>
    <row r="41" spans="1:10" ht="30.75" customHeight="1" hidden="1">
      <c r="A41" s="217" t="s">
        <v>70</v>
      </c>
      <c r="B41" s="186" t="s">
        <v>120</v>
      </c>
      <c r="C41" s="186">
        <v>7262</v>
      </c>
      <c r="D41" s="292" t="s">
        <v>145</v>
      </c>
      <c r="E41" s="292"/>
      <c r="F41" s="186" t="s">
        <v>52</v>
      </c>
      <c r="G41" s="188">
        <f>21*3*0.3*7</f>
        <v>132.29999999999998</v>
      </c>
      <c r="H41" s="189">
        <v>20.32</v>
      </c>
      <c r="I41" s="189">
        <f>ROUND((H41*(1+$J$4)),2)</f>
        <v>27.01</v>
      </c>
      <c r="J41" s="190">
        <f>G41*I41</f>
        <v>3573.423</v>
      </c>
    </row>
    <row r="42" spans="1:10" ht="30.75" customHeight="1" hidden="1">
      <c r="A42" s="217" t="s">
        <v>41</v>
      </c>
      <c r="B42" s="186" t="s">
        <v>120</v>
      </c>
      <c r="C42" s="186">
        <v>7262</v>
      </c>
      <c r="D42" s="292" t="s">
        <v>242</v>
      </c>
      <c r="E42" s="292"/>
      <c r="F42" s="186" t="s">
        <v>52</v>
      </c>
      <c r="G42" s="188">
        <v>8.4</v>
      </c>
      <c r="H42" s="189">
        <v>20.32</v>
      </c>
      <c r="I42" s="189">
        <f>ROUND((H42*(1+$J$4)),2)</f>
        <v>27.01</v>
      </c>
      <c r="J42" s="190">
        <f>G42*I42</f>
        <v>226.88400000000001</v>
      </c>
    </row>
    <row r="43" spans="1:10" ht="15" customHeight="1" hidden="1">
      <c r="A43" s="222" t="s">
        <v>245</v>
      </c>
      <c r="B43" s="223" t="s">
        <v>120</v>
      </c>
      <c r="C43" s="223" t="s">
        <v>48</v>
      </c>
      <c r="D43" s="310" t="s">
        <v>47</v>
      </c>
      <c r="E43" s="310"/>
      <c r="F43" s="226" t="s">
        <v>55</v>
      </c>
      <c r="G43" s="231">
        <f>ROUNDUP((100/3),0)</f>
        <v>34</v>
      </c>
      <c r="H43" s="225">
        <v>37.12</v>
      </c>
      <c r="I43" s="189">
        <f>ROUND((H43*(1+$J$4)),2)</f>
        <v>49.33</v>
      </c>
      <c r="J43" s="190">
        <f>G43*I43</f>
        <v>1677.22</v>
      </c>
    </row>
    <row r="44" spans="1:10" ht="15" customHeight="1" hidden="1">
      <c r="A44" s="204">
        <v>6</v>
      </c>
      <c r="B44" s="205"/>
      <c r="C44" s="206"/>
      <c r="D44" s="311" t="s">
        <v>114</v>
      </c>
      <c r="E44" s="311"/>
      <c r="F44" s="206" t="s">
        <v>54</v>
      </c>
      <c r="G44" s="209"/>
      <c r="H44" s="227"/>
      <c r="I44" s="227"/>
      <c r="J44" s="228"/>
    </row>
    <row r="45" spans="1:10" ht="13.5" hidden="1" thickBot="1">
      <c r="A45" s="213" t="s">
        <v>128</v>
      </c>
      <c r="B45" s="214" t="s">
        <v>120</v>
      </c>
      <c r="C45" s="214">
        <v>6826</v>
      </c>
      <c r="D45" s="326" t="s">
        <v>279</v>
      </c>
      <c r="E45" s="326"/>
      <c r="F45" s="214" t="s">
        <v>55</v>
      </c>
      <c r="G45" s="232">
        <v>5</v>
      </c>
      <c r="H45" s="216">
        <v>1489.98</v>
      </c>
      <c r="I45" s="216">
        <f aca="true" t="shared" si="2" ref="I45:I51">ROUND((H45*(1+$J$4)),2)</f>
        <v>1980.18</v>
      </c>
      <c r="J45" s="233">
        <f aca="true" t="shared" si="3" ref="J45:J58">G45*I45</f>
        <v>9900.9</v>
      </c>
    </row>
    <row r="46" spans="1:10" ht="13.5" hidden="1" thickBot="1">
      <c r="A46" s="234" t="s">
        <v>225</v>
      </c>
      <c r="B46" s="186" t="s">
        <v>120</v>
      </c>
      <c r="C46" s="186">
        <v>9252</v>
      </c>
      <c r="D46" s="330" t="s">
        <v>280</v>
      </c>
      <c r="E46" s="331"/>
      <c r="F46" s="186" t="s">
        <v>55</v>
      </c>
      <c r="G46" s="235">
        <v>0</v>
      </c>
      <c r="H46" s="189">
        <v>2653.06</v>
      </c>
      <c r="I46" s="189">
        <f t="shared" si="2"/>
        <v>3525.92</v>
      </c>
      <c r="J46" s="190">
        <f t="shared" si="3"/>
        <v>0</v>
      </c>
    </row>
    <row r="47" spans="1:10" ht="29.25" customHeight="1" hidden="1">
      <c r="A47" s="234" t="s">
        <v>300</v>
      </c>
      <c r="B47" s="186" t="s">
        <v>119</v>
      </c>
      <c r="C47" s="186">
        <v>99264</v>
      </c>
      <c r="D47" s="330" t="s">
        <v>354</v>
      </c>
      <c r="E47" s="331"/>
      <c r="F47" s="186" t="s">
        <v>55</v>
      </c>
      <c r="G47" s="235">
        <v>4</v>
      </c>
      <c r="H47" s="189">
        <v>573.88</v>
      </c>
      <c r="I47" s="189">
        <f t="shared" si="2"/>
        <v>762.69</v>
      </c>
      <c r="J47" s="190">
        <f>G47*I47</f>
        <v>3050.76</v>
      </c>
    </row>
    <row r="48" spans="1:10" ht="26.25" customHeight="1" hidden="1">
      <c r="A48" s="234" t="s">
        <v>226</v>
      </c>
      <c r="B48" s="186" t="s">
        <v>119</v>
      </c>
      <c r="C48" s="186">
        <v>92855</v>
      </c>
      <c r="D48" s="286" t="s">
        <v>296</v>
      </c>
      <c r="E48" s="287"/>
      <c r="F48" s="186" t="s">
        <v>154</v>
      </c>
      <c r="G48" s="188">
        <v>0</v>
      </c>
      <c r="H48" s="189">
        <v>300.9</v>
      </c>
      <c r="I48" s="189">
        <f t="shared" si="2"/>
        <v>399.9</v>
      </c>
      <c r="J48" s="190">
        <f t="shared" si="3"/>
        <v>0</v>
      </c>
    </row>
    <row r="49" spans="1:10" ht="15" customHeight="1" hidden="1">
      <c r="A49" s="234" t="s">
        <v>227</v>
      </c>
      <c r="B49" s="186" t="s">
        <v>120</v>
      </c>
      <c r="C49" s="186">
        <v>1130</v>
      </c>
      <c r="D49" s="335" t="s">
        <v>224</v>
      </c>
      <c r="E49" s="335"/>
      <c r="F49" s="186" t="s">
        <v>154</v>
      </c>
      <c r="G49" s="235">
        <f>95+16+32</f>
        <v>143</v>
      </c>
      <c r="H49" s="189">
        <v>152.7</v>
      </c>
      <c r="I49" s="189">
        <f t="shared" si="2"/>
        <v>202.94</v>
      </c>
      <c r="J49" s="190">
        <f t="shared" si="3"/>
        <v>29020.42</v>
      </c>
    </row>
    <row r="50" spans="1:10" ht="15" customHeight="1" hidden="1">
      <c r="A50" s="234" t="s">
        <v>228</v>
      </c>
      <c r="B50" s="186" t="s">
        <v>120</v>
      </c>
      <c r="C50" s="186">
        <v>1140</v>
      </c>
      <c r="D50" s="292" t="s">
        <v>244</v>
      </c>
      <c r="E50" s="292"/>
      <c r="F50" s="186" t="s">
        <v>154</v>
      </c>
      <c r="G50" s="188">
        <v>197</v>
      </c>
      <c r="H50" s="189">
        <v>195.31</v>
      </c>
      <c r="I50" s="189">
        <f t="shared" si="2"/>
        <v>259.57</v>
      </c>
      <c r="J50" s="190">
        <f t="shared" si="3"/>
        <v>51135.29</v>
      </c>
    </row>
    <row r="51" spans="1:10" ht="13.5" hidden="1" thickBot="1">
      <c r="A51" s="234" t="s">
        <v>229</v>
      </c>
      <c r="B51" s="186" t="s">
        <v>120</v>
      </c>
      <c r="C51" s="186">
        <v>1030</v>
      </c>
      <c r="D51" s="286" t="s">
        <v>295</v>
      </c>
      <c r="E51" s="287"/>
      <c r="F51" s="186" t="s">
        <v>124</v>
      </c>
      <c r="G51" s="188">
        <f>(((G48+G49)*1.3*1.8)+(G50*1.8*2))*1.05</f>
        <v>1096.0110000000002</v>
      </c>
      <c r="H51" s="189">
        <v>17.45</v>
      </c>
      <c r="I51" s="189">
        <f t="shared" si="2"/>
        <v>23.19</v>
      </c>
      <c r="J51" s="190">
        <f t="shared" si="3"/>
        <v>25416.495090000008</v>
      </c>
    </row>
    <row r="52" spans="1:10" ht="13.5" hidden="1" thickBot="1">
      <c r="A52" s="234" t="s">
        <v>231</v>
      </c>
      <c r="B52" s="186" t="s">
        <v>119</v>
      </c>
      <c r="C52" s="186">
        <v>95875</v>
      </c>
      <c r="D52" s="286" t="s">
        <v>286</v>
      </c>
      <c r="E52" s="287"/>
      <c r="F52" s="186" t="s">
        <v>269</v>
      </c>
      <c r="G52" s="188">
        <f>G51*10</f>
        <v>10960.110000000002</v>
      </c>
      <c r="H52" s="189">
        <v>1.15</v>
      </c>
      <c r="I52" s="189">
        <f>ROUND((H52*(1+$J$5)),2)</f>
        <v>1.39</v>
      </c>
      <c r="J52" s="190">
        <f t="shared" si="3"/>
        <v>15234.552900000002</v>
      </c>
    </row>
    <row r="53" spans="1:10" ht="13.5" hidden="1" thickBot="1">
      <c r="A53" s="234" t="s">
        <v>277</v>
      </c>
      <c r="B53" s="186" t="s">
        <v>120</v>
      </c>
      <c r="C53" s="186">
        <v>6464</v>
      </c>
      <c r="D53" s="290" t="s">
        <v>282</v>
      </c>
      <c r="E53" s="291"/>
      <c r="F53" s="186" t="s">
        <v>124</v>
      </c>
      <c r="G53" s="188">
        <f>(((G48+G49)*1.3*0.1)+(G50*1.8*0.1))*1.05</f>
        <v>56.7525</v>
      </c>
      <c r="H53" s="189">
        <v>87.97</v>
      </c>
      <c r="I53" s="189">
        <f>ROUND((H53*(1+$J$4)),2)</f>
        <v>116.91</v>
      </c>
      <c r="J53" s="190">
        <f t="shared" si="3"/>
        <v>6634.934775</v>
      </c>
    </row>
    <row r="54" spans="1:10" ht="13.5" hidden="1" thickBot="1">
      <c r="A54" s="234" t="s">
        <v>278</v>
      </c>
      <c r="B54" s="186" t="s">
        <v>119</v>
      </c>
      <c r="C54" s="186">
        <v>94968</v>
      </c>
      <c r="D54" s="290" t="s">
        <v>297</v>
      </c>
      <c r="E54" s="291"/>
      <c r="F54" s="186" t="s">
        <v>124</v>
      </c>
      <c r="G54" s="188">
        <f>(((G48+G49)*0.8*0.1)+(G50*1*0.1))*1.05</f>
        <v>32.697</v>
      </c>
      <c r="H54" s="189">
        <v>270.4</v>
      </c>
      <c r="I54" s="189">
        <f>ROUND((H54*(1+$J$4)),2)</f>
        <v>359.36</v>
      </c>
      <c r="J54" s="190">
        <f t="shared" si="3"/>
        <v>11749.99392</v>
      </c>
    </row>
    <row r="55" spans="1:10" ht="15" customHeight="1" hidden="1">
      <c r="A55" s="234" t="s">
        <v>284</v>
      </c>
      <c r="B55" s="186" t="s">
        <v>120</v>
      </c>
      <c r="C55" s="186">
        <v>1079</v>
      </c>
      <c r="D55" s="286" t="s">
        <v>283</v>
      </c>
      <c r="E55" s="287"/>
      <c r="F55" s="186" t="s">
        <v>124</v>
      </c>
      <c r="G55" s="188">
        <f>(((G48+G49)*1.3*1)+(G50*1.8*1))*1.05</f>
        <v>567.525</v>
      </c>
      <c r="H55" s="189">
        <v>65.57</v>
      </c>
      <c r="I55" s="189">
        <f>ROUND((H55*(1+$J$4)),2)</f>
        <v>87.14</v>
      </c>
      <c r="J55" s="190">
        <f t="shared" si="3"/>
        <v>49454.1285</v>
      </c>
    </row>
    <row r="56" spans="1:10" ht="13.5" hidden="1" thickBot="1">
      <c r="A56" s="234" t="s">
        <v>285</v>
      </c>
      <c r="B56" s="186" t="s">
        <v>120</v>
      </c>
      <c r="C56" s="236">
        <v>548</v>
      </c>
      <c r="D56" s="292" t="s">
        <v>276</v>
      </c>
      <c r="E56" s="292"/>
      <c r="F56" s="186" t="s">
        <v>52</v>
      </c>
      <c r="G56" s="188">
        <f>(((G48+G49)*1.7)+(G50*2))</f>
        <v>637.1</v>
      </c>
      <c r="H56" s="189">
        <v>4.8</v>
      </c>
      <c r="I56" s="189">
        <f>ROUND((H56*(1+$J$4)),2)</f>
        <v>6.38</v>
      </c>
      <c r="J56" s="190">
        <f t="shared" si="3"/>
        <v>4064.698</v>
      </c>
    </row>
    <row r="57" spans="1:10" ht="39" customHeight="1" hidden="1">
      <c r="A57" s="234" t="s">
        <v>298</v>
      </c>
      <c r="B57" s="186" t="s">
        <v>119</v>
      </c>
      <c r="C57" s="186" t="s">
        <v>230</v>
      </c>
      <c r="D57" s="292" t="s">
        <v>232</v>
      </c>
      <c r="E57" s="292"/>
      <c r="F57" s="186" t="s">
        <v>52</v>
      </c>
      <c r="G57" s="188">
        <f>G56</f>
        <v>637.1</v>
      </c>
      <c r="H57" s="189">
        <v>42.73</v>
      </c>
      <c r="I57" s="189">
        <f>ROUND((H57*(1+$J$5)),2)</f>
        <v>51.59</v>
      </c>
      <c r="J57" s="190">
        <f t="shared" si="3"/>
        <v>32867.989</v>
      </c>
    </row>
    <row r="58" spans="1:10" ht="42" customHeight="1" hidden="1" thickBot="1">
      <c r="A58" s="234" t="s">
        <v>299</v>
      </c>
      <c r="B58" s="237" t="s">
        <v>119</v>
      </c>
      <c r="C58" s="238">
        <v>72799</v>
      </c>
      <c r="D58" s="293" t="s">
        <v>281</v>
      </c>
      <c r="E58" s="293"/>
      <c r="F58" s="237" t="s">
        <v>52</v>
      </c>
      <c r="G58" s="239">
        <v>0</v>
      </c>
      <c r="H58" s="240">
        <v>69.33</v>
      </c>
      <c r="I58" s="240">
        <f>ROUND((H58*(1+$J$5)),2)</f>
        <v>83.7</v>
      </c>
      <c r="J58" s="241">
        <f t="shared" si="3"/>
        <v>0</v>
      </c>
    </row>
    <row r="59" spans="1:10" ht="13.5" hidden="1" thickBot="1">
      <c r="A59" s="191"/>
      <c r="B59" s="192"/>
      <c r="C59" s="193"/>
      <c r="D59" s="306" t="s">
        <v>113</v>
      </c>
      <c r="E59" s="306"/>
      <c r="F59" s="194"/>
      <c r="G59" s="194"/>
      <c r="H59" s="195"/>
      <c r="I59" s="196"/>
      <c r="J59" s="197">
        <f>SUM(J19:J58)</f>
        <v>1121947.014248679</v>
      </c>
    </row>
    <row r="60" spans="1:10" ht="9" customHeight="1" hidden="1">
      <c r="A60" s="242"/>
      <c r="B60" s="242"/>
      <c r="C60" s="243"/>
      <c r="D60" s="244"/>
      <c r="E60" s="244"/>
      <c r="F60" s="245"/>
      <c r="G60" s="245"/>
      <c r="H60" s="246"/>
      <c r="I60" s="247"/>
      <c r="J60" s="247"/>
    </row>
    <row r="61" spans="1:10" ht="9.75" customHeight="1" hidden="1" thickBot="1">
      <c r="A61" s="168"/>
      <c r="B61" s="168"/>
      <c r="C61" s="248"/>
      <c r="D61" s="249"/>
      <c r="E61" s="249"/>
      <c r="F61" s="250"/>
      <c r="G61" s="250"/>
      <c r="H61" s="251"/>
      <c r="I61" s="252"/>
      <c r="J61" s="252"/>
    </row>
    <row r="62" spans="1:10" ht="15.75" customHeight="1" hidden="1" thickBot="1">
      <c r="A62" s="301" t="s">
        <v>235</v>
      </c>
      <c r="B62" s="302"/>
      <c r="C62" s="302"/>
      <c r="D62" s="302"/>
      <c r="E62" s="302"/>
      <c r="F62" s="302"/>
      <c r="G62" s="173" t="s">
        <v>221</v>
      </c>
      <c r="H62" s="174">
        <v>528.14</v>
      </c>
      <c r="I62" s="173" t="s">
        <v>220</v>
      </c>
      <c r="J62" s="175">
        <v>7</v>
      </c>
    </row>
    <row r="63" spans="1:10" ht="13.5" hidden="1" thickBot="1">
      <c r="A63" s="204">
        <v>2</v>
      </c>
      <c r="B63" s="205"/>
      <c r="C63" s="206"/>
      <c r="D63" s="207" t="s">
        <v>103</v>
      </c>
      <c r="E63" s="208"/>
      <c r="F63" s="206"/>
      <c r="G63" s="209"/>
      <c r="H63" s="210"/>
      <c r="I63" s="211"/>
      <c r="J63" s="212"/>
    </row>
    <row r="64" spans="1:10" ht="13.5" hidden="1" thickBot="1">
      <c r="A64" s="213" t="s">
        <v>61</v>
      </c>
      <c r="B64" s="214" t="s">
        <v>119</v>
      </c>
      <c r="C64" s="214" t="s">
        <v>121</v>
      </c>
      <c r="D64" s="309" t="s">
        <v>265</v>
      </c>
      <c r="E64" s="309"/>
      <c r="F64" s="214" t="s">
        <v>52</v>
      </c>
      <c r="G64" s="215">
        <f>(3952.83*2)+(279.94*2)</f>
        <v>8465.539999999999</v>
      </c>
      <c r="H64" s="216">
        <v>0.59</v>
      </c>
      <c r="I64" s="189">
        <f>ROUND((H64*(1+$J$5)),2)</f>
        <v>0.71</v>
      </c>
      <c r="J64" s="190">
        <f aca="true" t="shared" si="4" ref="J64:J72">G64*I64</f>
        <v>6010.533399999999</v>
      </c>
    </row>
    <row r="65" spans="1:10" ht="12.75" customHeight="1" hidden="1">
      <c r="A65" s="217" t="s">
        <v>64</v>
      </c>
      <c r="B65" s="186" t="s">
        <v>122</v>
      </c>
      <c r="C65" s="186"/>
      <c r="D65" s="324" t="s">
        <v>289</v>
      </c>
      <c r="E65" s="325"/>
      <c r="F65" s="186" t="s">
        <v>53</v>
      </c>
      <c r="G65" s="218">
        <f>0.5*(G64)/1000</f>
        <v>4.2327699999999995</v>
      </c>
      <c r="H65" s="219">
        <f>1.92379*1000*1.18</f>
        <v>2270.0721999999996</v>
      </c>
      <c r="I65" s="189">
        <f>ROUND((H65*(1+$J$6)),2)</f>
        <v>2610.58</v>
      </c>
      <c r="J65" s="190">
        <f t="shared" si="4"/>
        <v>11049.984706599998</v>
      </c>
    </row>
    <row r="66" spans="1:10" ht="13.5" hidden="1" thickBot="1">
      <c r="A66" s="217" t="s">
        <v>65</v>
      </c>
      <c r="B66" s="186" t="s">
        <v>119</v>
      </c>
      <c r="C66" s="186">
        <v>93176</v>
      </c>
      <c r="D66" s="292" t="s">
        <v>272</v>
      </c>
      <c r="E66" s="292"/>
      <c r="F66" s="186" t="s">
        <v>125</v>
      </c>
      <c r="G66" s="218">
        <f>(G65)*305</f>
        <v>1290.9948499999998</v>
      </c>
      <c r="H66" s="189">
        <v>0.47</v>
      </c>
      <c r="I66" s="189">
        <f>ROUND((H66*(1+$J$6)),2)</f>
        <v>0.54</v>
      </c>
      <c r="J66" s="190">
        <f t="shared" si="4"/>
        <v>697.137219</v>
      </c>
    </row>
    <row r="67" spans="1:10" ht="30" customHeight="1" hidden="1">
      <c r="A67" s="217" t="s">
        <v>66</v>
      </c>
      <c r="B67" s="186" t="s">
        <v>119</v>
      </c>
      <c r="C67" s="186">
        <v>95990</v>
      </c>
      <c r="D67" s="286" t="s">
        <v>262</v>
      </c>
      <c r="E67" s="287"/>
      <c r="F67" s="220" t="s">
        <v>124</v>
      </c>
      <c r="G67" s="218">
        <f>(G64/2)*0.03</f>
        <v>126.98309999999998</v>
      </c>
      <c r="H67" s="221">
        <v>669</v>
      </c>
      <c r="I67" s="189">
        <f>ROUND((H67*(1+$J$5)),2)</f>
        <v>807.68</v>
      </c>
      <c r="J67" s="190">
        <f t="shared" si="4"/>
        <v>102561.71020799997</v>
      </c>
    </row>
    <row r="68" spans="1:10" ht="30" customHeight="1" hidden="1">
      <c r="A68" s="217" t="s">
        <v>38</v>
      </c>
      <c r="B68" s="186" t="s">
        <v>119</v>
      </c>
      <c r="C68" s="186">
        <v>95993</v>
      </c>
      <c r="D68" s="292" t="s">
        <v>243</v>
      </c>
      <c r="E68" s="292"/>
      <c r="F68" s="220" t="s">
        <v>124</v>
      </c>
      <c r="G68" s="218">
        <f>(G64/2)*0.05</f>
        <v>211.6385</v>
      </c>
      <c r="H68" s="221">
        <v>629.7</v>
      </c>
      <c r="I68" s="189">
        <f>ROUND((H68*(1+$J$5)),2)</f>
        <v>760.24</v>
      </c>
      <c r="J68" s="190">
        <f t="shared" si="4"/>
        <v>160896.05324</v>
      </c>
    </row>
    <row r="69" spans="1:10" ht="30" customHeight="1" hidden="1">
      <c r="A69" s="217" t="s">
        <v>67</v>
      </c>
      <c r="B69" s="186" t="s">
        <v>119</v>
      </c>
      <c r="C69" s="186">
        <v>72891</v>
      </c>
      <c r="D69" s="286" t="s">
        <v>267</v>
      </c>
      <c r="E69" s="287"/>
      <c r="F69" s="220" t="s">
        <v>124</v>
      </c>
      <c r="G69" s="218">
        <f>G67+G68</f>
        <v>338.62159999999994</v>
      </c>
      <c r="H69" s="189">
        <v>5.92</v>
      </c>
      <c r="I69" s="189">
        <f>ROUND((H69*(1+$J$5)),2)</f>
        <v>7.15</v>
      </c>
      <c r="J69" s="190">
        <f>G69*I69</f>
        <v>2421.1444399999996</v>
      </c>
    </row>
    <row r="70" spans="1:10" ht="13.5" hidden="1" thickBot="1">
      <c r="A70" s="217" t="s">
        <v>68</v>
      </c>
      <c r="B70" s="186" t="s">
        <v>119</v>
      </c>
      <c r="C70" s="186">
        <v>95303</v>
      </c>
      <c r="D70" s="292" t="s">
        <v>290</v>
      </c>
      <c r="E70" s="292"/>
      <c r="F70" s="220" t="s">
        <v>269</v>
      </c>
      <c r="G70" s="218">
        <f>G69*105</f>
        <v>35555.268</v>
      </c>
      <c r="H70" s="189">
        <v>1.03</v>
      </c>
      <c r="I70" s="189">
        <f>ROUND((H70*(1+$J$6)),2)</f>
        <v>1.18</v>
      </c>
      <c r="J70" s="190">
        <f t="shared" si="4"/>
        <v>41955.216239999994</v>
      </c>
    </row>
    <row r="71" spans="1:10" ht="12.75" customHeight="1" hidden="1">
      <c r="A71" s="217" t="s">
        <v>127</v>
      </c>
      <c r="B71" s="186" t="s">
        <v>122</v>
      </c>
      <c r="C71" s="186"/>
      <c r="D71" s="324" t="s">
        <v>270</v>
      </c>
      <c r="E71" s="325"/>
      <c r="F71" s="186" t="s">
        <v>53</v>
      </c>
      <c r="G71" s="218">
        <f>(G67+G68)*2.5548*6%</f>
        <v>51.9066278208</v>
      </c>
      <c r="H71" s="219">
        <f>2.67518*1000*1.18</f>
        <v>3156.7124000000003</v>
      </c>
      <c r="I71" s="189">
        <f>ROUND((H71*(1+$J$6)),2)</f>
        <v>3630.22</v>
      </c>
      <c r="J71" s="190">
        <f t="shared" si="4"/>
        <v>188432.47844762457</v>
      </c>
    </row>
    <row r="72" spans="1:10" ht="13.5" hidden="1" thickBot="1">
      <c r="A72" s="217" t="s">
        <v>266</v>
      </c>
      <c r="B72" s="226" t="s">
        <v>119</v>
      </c>
      <c r="C72" s="223">
        <v>93176</v>
      </c>
      <c r="D72" s="310" t="s">
        <v>273</v>
      </c>
      <c r="E72" s="310"/>
      <c r="F72" s="223" t="s">
        <v>125</v>
      </c>
      <c r="G72" s="224">
        <f>G71*305</f>
        <v>15831.521485344</v>
      </c>
      <c r="H72" s="225">
        <v>0.47</v>
      </c>
      <c r="I72" s="189">
        <f>ROUND((H72*(1+$J$6)),2)</f>
        <v>0.54</v>
      </c>
      <c r="J72" s="190">
        <f t="shared" si="4"/>
        <v>8549.02160208576</v>
      </c>
    </row>
    <row r="73" spans="1:10" ht="13.5" hidden="1" thickBot="1">
      <c r="A73" s="204">
        <v>3</v>
      </c>
      <c r="B73" s="205"/>
      <c r="C73" s="206"/>
      <c r="D73" s="311" t="s">
        <v>42</v>
      </c>
      <c r="E73" s="311"/>
      <c r="F73" s="206" t="s">
        <v>54</v>
      </c>
      <c r="G73" s="209"/>
      <c r="H73" s="227"/>
      <c r="I73" s="227"/>
      <c r="J73" s="228"/>
    </row>
    <row r="74" spans="1:10" ht="30.75" customHeight="1" hidden="1">
      <c r="A74" s="213" t="s">
        <v>57</v>
      </c>
      <c r="B74" s="214" t="s">
        <v>119</v>
      </c>
      <c r="C74" s="214">
        <v>95993</v>
      </c>
      <c r="D74" s="309" t="s">
        <v>291</v>
      </c>
      <c r="E74" s="309"/>
      <c r="F74" s="214" t="s">
        <v>124</v>
      </c>
      <c r="G74" s="215">
        <f>(12.7*5*0.15)*(3)</f>
        <v>28.575000000000003</v>
      </c>
      <c r="H74" s="253">
        <v>629.7</v>
      </c>
      <c r="I74" s="216">
        <f>ROUND((H74*(1+$J$5)),2)</f>
        <v>760.24</v>
      </c>
      <c r="J74" s="233">
        <f aca="true" t="shared" si="5" ref="J74:J79">G74*I74</f>
        <v>21723.858000000004</v>
      </c>
    </row>
    <row r="75" spans="1:10" ht="30" customHeight="1" hidden="1">
      <c r="A75" s="217" t="s">
        <v>58</v>
      </c>
      <c r="B75" s="186" t="s">
        <v>119</v>
      </c>
      <c r="C75" s="186">
        <v>72891</v>
      </c>
      <c r="D75" s="286" t="s">
        <v>267</v>
      </c>
      <c r="E75" s="287"/>
      <c r="F75" s="220" t="s">
        <v>124</v>
      </c>
      <c r="G75" s="218">
        <f>G73+G74</f>
        <v>28.575000000000003</v>
      </c>
      <c r="H75" s="189">
        <v>5.92</v>
      </c>
      <c r="I75" s="189">
        <f>ROUND((H75*(1+$J$5)),2)</f>
        <v>7.15</v>
      </c>
      <c r="J75" s="190">
        <f t="shared" si="5"/>
        <v>204.31125000000003</v>
      </c>
    </row>
    <row r="76" spans="1:10" ht="13.5" hidden="1" thickBot="1">
      <c r="A76" s="217" t="s">
        <v>59</v>
      </c>
      <c r="B76" s="186" t="s">
        <v>119</v>
      </c>
      <c r="C76" s="186">
        <v>95303</v>
      </c>
      <c r="D76" s="292" t="s">
        <v>290</v>
      </c>
      <c r="E76" s="292"/>
      <c r="F76" s="220" t="s">
        <v>269</v>
      </c>
      <c r="G76" s="218">
        <f>G74*2.34*105</f>
        <v>7020.8775</v>
      </c>
      <c r="H76" s="189">
        <v>1.03</v>
      </c>
      <c r="I76" s="189">
        <f>ROUND((H76*(1+$J$6)),2)</f>
        <v>1.18</v>
      </c>
      <c r="J76" s="190">
        <f t="shared" si="5"/>
        <v>8284.63545</v>
      </c>
    </row>
    <row r="77" spans="1:10" ht="27" customHeight="1" hidden="1">
      <c r="A77" s="217" t="s">
        <v>60</v>
      </c>
      <c r="B77" s="186" t="s">
        <v>122</v>
      </c>
      <c r="C77" s="186"/>
      <c r="D77" s="324" t="s">
        <v>270</v>
      </c>
      <c r="E77" s="325"/>
      <c r="F77" s="186" t="s">
        <v>53</v>
      </c>
      <c r="G77" s="218">
        <f>G74*2.34*5.5%</f>
        <v>3.6776025</v>
      </c>
      <c r="H77" s="219">
        <f>2.67518*1000*1.18</f>
        <v>3156.7124000000003</v>
      </c>
      <c r="I77" s="189">
        <f>ROUND((H77*(1+$J$6)),2)</f>
        <v>3630.22</v>
      </c>
      <c r="J77" s="190">
        <f t="shared" si="5"/>
        <v>13350.506147549999</v>
      </c>
    </row>
    <row r="78" spans="1:10" ht="13.5" hidden="1" thickBot="1">
      <c r="A78" s="217" t="s">
        <v>271</v>
      </c>
      <c r="B78" s="186" t="s">
        <v>119</v>
      </c>
      <c r="C78" s="186">
        <v>93176</v>
      </c>
      <c r="D78" s="292" t="s">
        <v>273</v>
      </c>
      <c r="E78" s="292"/>
      <c r="F78" s="186" t="s">
        <v>125</v>
      </c>
      <c r="G78" s="218">
        <f>G77*305</f>
        <v>1121.6687625</v>
      </c>
      <c r="H78" s="189">
        <v>0.47</v>
      </c>
      <c r="I78" s="189">
        <f>ROUND((H78*(1+$J$6)),2)</f>
        <v>0.54</v>
      </c>
      <c r="J78" s="190">
        <f t="shared" si="5"/>
        <v>605.7011317500001</v>
      </c>
    </row>
    <row r="79" spans="1:10" ht="13.5" hidden="1" thickBot="1">
      <c r="A79" s="222" t="s">
        <v>287</v>
      </c>
      <c r="B79" s="223" t="s">
        <v>140</v>
      </c>
      <c r="C79" s="223">
        <v>9836</v>
      </c>
      <c r="D79" s="310" t="s">
        <v>288</v>
      </c>
      <c r="E79" s="310"/>
      <c r="F79" s="223" t="s">
        <v>154</v>
      </c>
      <c r="G79" s="224">
        <v>12</v>
      </c>
      <c r="H79" s="225">
        <v>9.21</v>
      </c>
      <c r="I79" s="225">
        <f>ROUND((H79*(1+$J$6)),2)</f>
        <v>10.59</v>
      </c>
      <c r="J79" s="254">
        <f t="shared" si="5"/>
        <v>127.08</v>
      </c>
    </row>
    <row r="80" spans="1:10" ht="15" customHeight="1" hidden="1">
      <c r="A80" s="204">
        <v>4</v>
      </c>
      <c r="B80" s="205"/>
      <c r="C80" s="206"/>
      <c r="D80" s="311" t="s">
        <v>44</v>
      </c>
      <c r="E80" s="311"/>
      <c r="F80" s="206" t="s">
        <v>54</v>
      </c>
      <c r="G80" s="209"/>
      <c r="H80" s="227"/>
      <c r="I80" s="227"/>
      <c r="J80" s="228"/>
    </row>
    <row r="81" spans="1:10" ht="15" customHeight="1" hidden="1">
      <c r="A81" s="217" t="s">
        <v>62</v>
      </c>
      <c r="B81" s="186" t="s">
        <v>120</v>
      </c>
      <c r="C81" s="186" t="s">
        <v>51</v>
      </c>
      <c r="D81" s="292" t="s">
        <v>45</v>
      </c>
      <c r="E81" s="292"/>
      <c r="F81" s="186" t="s">
        <v>55</v>
      </c>
      <c r="G81" s="188">
        <f>ROUNDUP(G64/700,0)/2</f>
        <v>6.5</v>
      </c>
      <c r="H81" s="189">
        <v>290.32</v>
      </c>
      <c r="I81" s="189">
        <f>ROUND((H81*(1+$J$4)),2)</f>
        <v>385.84</v>
      </c>
      <c r="J81" s="190">
        <f>G81*I81</f>
        <v>2507.96</v>
      </c>
    </row>
    <row r="82" spans="1:10" ht="15" customHeight="1" hidden="1">
      <c r="A82" s="217" t="s">
        <v>69</v>
      </c>
      <c r="B82" s="186" t="s">
        <v>120</v>
      </c>
      <c r="C82" s="186" t="s">
        <v>50</v>
      </c>
      <c r="D82" s="294" t="s">
        <v>274</v>
      </c>
      <c r="E82" s="295"/>
      <c r="F82" s="186" t="s">
        <v>55</v>
      </c>
      <c r="G82" s="229">
        <f>ROUNDUP(G64/700,0)/2</f>
        <v>6.5</v>
      </c>
      <c r="H82" s="189">
        <v>115.6</v>
      </c>
      <c r="I82" s="189">
        <f>ROUND((H82*(1+$J$4)),2)</f>
        <v>153.63</v>
      </c>
      <c r="J82" s="190">
        <f>G82*I82</f>
        <v>998.595</v>
      </c>
    </row>
    <row r="83" spans="1:10" ht="15" customHeight="1" hidden="1">
      <c r="A83" s="204">
        <v>5</v>
      </c>
      <c r="B83" s="205"/>
      <c r="C83" s="206"/>
      <c r="D83" s="311" t="s">
        <v>43</v>
      </c>
      <c r="E83" s="311"/>
      <c r="F83" s="206" t="s">
        <v>54</v>
      </c>
      <c r="G83" s="230"/>
      <c r="H83" s="227"/>
      <c r="I83" s="227"/>
      <c r="J83" s="228"/>
    </row>
    <row r="84" spans="1:10" ht="30.75" customHeight="1" hidden="1">
      <c r="A84" s="217" t="s">
        <v>63</v>
      </c>
      <c r="B84" s="186" t="s">
        <v>120</v>
      </c>
      <c r="C84" s="186">
        <v>7262</v>
      </c>
      <c r="D84" s="292" t="s">
        <v>46</v>
      </c>
      <c r="E84" s="292"/>
      <c r="F84" s="186" t="s">
        <v>52</v>
      </c>
      <c r="G84" s="188">
        <f>(456.8*2*0.1)+9</f>
        <v>100.36000000000001</v>
      </c>
      <c r="H84" s="189">
        <v>20.32</v>
      </c>
      <c r="I84" s="189">
        <f>ROUND((H84*(1+$J$4)),2)</f>
        <v>27.01</v>
      </c>
      <c r="J84" s="190">
        <f>G84*I84</f>
        <v>2710.7236000000007</v>
      </c>
    </row>
    <row r="85" spans="1:10" ht="30.75" customHeight="1" hidden="1">
      <c r="A85" s="217" t="s">
        <v>70</v>
      </c>
      <c r="B85" s="186" t="s">
        <v>120</v>
      </c>
      <c r="C85" s="186">
        <v>7262</v>
      </c>
      <c r="D85" s="292" t="s">
        <v>145</v>
      </c>
      <c r="E85" s="292"/>
      <c r="F85" s="186" t="s">
        <v>52</v>
      </c>
      <c r="G85" s="188">
        <f>(3*0.3*21)*(4)</f>
        <v>75.6</v>
      </c>
      <c r="H85" s="189">
        <v>20.32</v>
      </c>
      <c r="I85" s="189">
        <f>ROUND((H85*(1+$J$5)),2)</f>
        <v>24.53</v>
      </c>
      <c r="J85" s="190">
        <f>G85*I85</f>
        <v>1854.4679999999998</v>
      </c>
    </row>
    <row r="86" spans="1:10" ht="30.75" customHeight="1" hidden="1">
      <c r="A86" s="217" t="s">
        <v>41</v>
      </c>
      <c r="B86" s="186" t="s">
        <v>120</v>
      </c>
      <c r="C86" s="186">
        <v>7262</v>
      </c>
      <c r="D86" s="292" t="s">
        <v>242</v>
      </c>
      <c r="E86" s="292"/>
      <c r="F86" s="186" t="s">
        <v>52</v>
      </c>
      <c r="G86" s="188">
        <v>10.32</v>
      </c>
      <c r="H86" s="189">
        <v>20.32</v>
      </c>
      <c r="I86" s="189">
        <f>ROUND((H86*(1+$J$5)),2)</f>
        <v>24.53</v>
      </c>
      <c r="J86" s="190">
        <f>G86*I86</f>
        <v>253.14960000000002</v>
      </c>
    </row>
    <row r="87" spans="1:10" ht="15" customHeight="1" hidden="1">
      <c r="A87" s="222" t="s">
        <v>245</v>
      </c>
      <c r="B87" s="223" t="s">
        <v>120</v>
      </c>
      <c r="C87" s="223" t="s">
        <v>48</v>
      </c>
      <c r="D87" s="310" t="s">
        <v>47</v>
      </c>
      <c r="E87" s="310"/>
      <c r="F87" s="226" t="s">
        <v>55</v>
      </c>
      <c r="G87" s="231"/>
      <c r="H87" s="225">
        <v>37.12</v>
      </c>
      <c r="I87" s="189">
        <f>ROUND((H87*(1+$J$4)),2)</f>
        <v>49.33</v>
      </c>
      <c r="J87" s="190">
        <f>G87*I87</f>
        <v>0</v>
      </c>
    </row>
    <row r="88" spans="1:10" ht="15" customHeight="1" hidden="1">
      <c r="A88" s="204">
        <v>6</v>
      </c>
      <c r="B88" s="205"/>
      <c r="C88" s="206"/>
      <c r="D88" s="311" t="s">
        <v>114</v>
      </c>
      <c r="E88" s="311"/>
      <c r="F88" s="206" t="s">
        <v>54</v>
      </c>
      <c r="G88" s="209"/>
      <c r="H88" s="227"/>
      <c r="I88" s="227"/>
      <c r="J88" s="228"/>
    </row>
    <row r="89" spans="1:10" ht="26.25" customHeight="1" hidden="1">
      <c r="A89" s="234" t="s">
        <v>128</v>
      </c>
      <c r="B89" s="186" t="s">
        <v>119</v>
      </c>
      <c r="C89" s="186">
        <v>92855</v>
      </c>
      <c r="D89" s="292" t="s">
        <v>296</v>
      </c>
      <c r="E89" s="292"/>
      <c r="F89" s="186" t="s">
        <v>154</v>
      </c>
      <c r="G89" s="188">
        <v>0</v>
      </c>
      <c r="H89" s="189">
        <v>300.9</v>
      </c>
      <c r="I89" s="189">
        <f>ROUND((H89*(1+$J$5)),2)</f>
        <v>363.28</v>
      </c>
      <c r="J89" s="190">
        <f aca="true" t="shared" si="6" ref="J89:J99">G89*I89</f>
        <v>0</v>
      </c>
    </row>
    <row r="90" spans="1:10" ht="15" customHeight="1" hidden="1">
      <c r="A90" s="234" t="s">
        <v>225</v>
      </c>
      <c r="B90" s="186" t="s">
        <v>120</v>
      </c>
      <c r="C90" s="186">
        <v>1130</v>
      </c>
      <c r="D90" s="308" t="s">
        <v>224</v>
      </c>
      <c r="E90" s="308"/>
      <c r="F90" s="255" t="s">
        <v>154</v>
      </c>
      <c r="G90" s="256">
        <v>0</v>
      </c>
      <c r="H90" s="189">
        <v>152.7</v>
      </c>
      <c r="I90" s="189">
        <f>ROUND((H90*(1+$J$4)),2)</f>
        <v>202.94</v>
      </c>
      <c r="J90" s="190">
        <f t="shared" si="6"/>
        <v>0</v>
      </c>
    </row>
    <row r="91" spans="1:10" ht="15" customHeight="1" hidden="1">
      <c r="A91" s="234" t="s">
        <v>226</v>
      </c>
      <c r="B91" s="186" t="s">
        <v>120</v>
      </c>
      <c r="C91" s="186">
        <v>1140</v>
      </c>
      <c r="D91" s="292" t="s">
        <v>294</v>
      </c>
      <c r="E91" s="292"/>
      <c r="F91" s="186" t="s">
        <v>154</v>
      </c>
      <c r="G91" s="188">
        <v>0</v>
      </c>
      <c r="H91" s="189">
        <v>195.31</v>
      </c>
      <c r="I91" s="189">
        <f>ROUND((H91*(1+$J$4)),2)</f>
        <v>259.57</v>
      </c>
      <c r="J91" s="190">
        <f t="shared" si="6"/>
        <v>0</v>
      </c>
    </row>
    <row r="92" spans="1:10" ht="13.5" hidden="1" thickBot="1">
      <c r="A92" s="234" t="s">
        <v>227</v>
      </c>
      <c r="B92" s="186" t="s">
        <v>120</v>
      </c>
      <c r="C92" s="186">
        <v>1030</v>
      </c>
      <c r="D92" s="286" t="s">
        <v>295</v>
      </c>
      <c r="E92" s="287"/>
      <c r="F92" s="186" t="s">
        <v>124</v>
      </c>
      <c r="G92" s="188">
        <f>(((G89+G90)*1.3*1.8)+(G91*1.8*2))*1.05</f>
        <v>0</v>
      </c>
      <c r="H92" s="189">
        <v>17.45</v>
      </c>
      <c r="I92" s="189">
        <f>ROUND((H92*(1+$J$4)),2)</f>
        <v>23.19</v>
      </c>
      <c r="J92" s="190">
        <f t="shared" si="6"/>
        <v>0</v>
      </c>
    </row>
    <row r="93" spans="1:10" ht="13.5" hidden="1" thickBot="1">
      <c r="A93" s="234" t="s">
        <v>228</v>
      </c>
      <c r="B93" s="186" t="s">
        <v>119</v>
      </c>
      <c r="C93" s="186">
        <v>95875</v>
      </c>
      <c r="D93" s="286" t="s">
        <v>286</v>
      </c>
      <c r="E93" s="287"/>
      <c r="F93" s="186" t="s">
        <v>269</v>
      </c>
      <c r="G93" s="188">
        <f>G92*10</f>
        <v>0</v>
      </c>
      <c r="H93" s="189">
        <v>1.15</v>
      </c>
      <c r="I93" s="189">
        <f>ROUND((H93*(1+$J$5)),2)</f>
        <v>1.39</v>
      </c>
      <c r="J93" s="190">
        <f t="shared" si="6"/>
        <v>0</v>
      </c>
    </row>
    <row r="94" spans="1:10" ht="13.5" hidden="1" thickBot="1">
      <c r="A94" s="234" t="s">
        <v>229</v>
      </c>
      <c r="B94" s="186" t="s">
        <v>120</v>
      </c>
      <c r="C94" s="186">
        <v>6464</v>
      </c>
      <c r="D94" s="290" t="s">
        <v>282</v>
      </c>
      <c r="E94" s="291"/>
      <c r="F94" s="186" t="s">
        <v>124</v>
      </c>
      <c r="G94" s="188">
        <f>(((G89+G90)*1.3*0.1)+(G91*1.8*0.1))*1.05</f>
        <v>0</v>
      </c>
      <c r="H94" s="189">
        <v>87.97</v>
      </c>
      <c r="I94" s="189">
        <f>ROUND((H94*(1+$J$4)),2)</f>
        <v>116.91</v>
      </c>
      <c r="J94" s="190">
        <f t="shared" si="6"/>
        <v>0</v>
      </c>
    </row>
    <row r="95" spans="1:10" ht="13.5" hidden="1" thickBot="1">
      <c r="A95" s="234" t="s">
        <v>231</v>
      </c>
      <c r="B95" s="186" t="s">
        <v>119</v>
      </c>
      <c r="C95" s="186">
        <v>94968</v>
      </c>
      <c r="D95" s="290" t="s">
        <v>297</v>
      </c>
      <c r="E95" s="291"/>
      <c r="F95" s="186" t="s">
        <v>124</v>
      </c>
      <c r="G95" s="188">
        <f>(((G89+G90)*0.8*0.1)+(G91*1*0.1))*1.05</f>
        <v>0</v>
      </c>
      <c r="H95" s="189">
        <v>270.4</v>
      </c>
      <c r="I95" s="189">
        <f>ROUND((H95*(1+$J$5)),2)</f>
        <v>326.45</v>
      </c>
      <c r="J95" s="190">
        <f>G95*I95</f>
        <v>0</v>
      </c>
    </row>
    <row r="96" spans="1:10" ht="15" customHeight="1" hidden="1">
      <c r="A96" s="234" t="s">
        <v>277</v>
      </c>
      <c r="B96" s="186" t="s">
        <v>120</v>
      </c>
      <c r="C96" s="186">
        <v>1079</v>
      </c>
      <c r="D96" s="286" t="s">
        <v>283</v>
      </c>
      <c r="E96" s="287"/>
      <c r="F96" s="186" t="s">
        <v>124</v>
      </c>
      <c r="G96" s="188">
        <f>(((G89+G90)*1.3*1)+(G91*1.8*1))*1.05</f>
        <v>0</v>
      </c>
      <c r="H96" s="189">
        <v>65.57</v>
      </c>
      <c r="I96" s="189">
        <f>ROUND((H96*(1+$J$4)),2)</f>
        <v>87.14</v>
      </c>
      <c r="J96" s="190">
        <f t="shared" si="6"/>
        <v>0</v>
      </c>
    </row>
    <row r="97" spans="1:10" ht="13.5" hidden="1" thickBot="1">
      <c r="A97" s="234" t="s">
        <v>278</v>
      </c>
      <c r="B97" s="186" t="s">
        <v>120</v>
      </c>
      <c r="C97" s="236">
        <v>548</v>
      </c>
      <c r="D97" s="292" t="s">
        <v>276</v>
      </c>
      <c r="E97" s="292"/>
      <c r="F97" s="186" t="s">
        <v>52</v>
      </c>
      <c r="G97" s="188">
        <f>((G89+G90)*1.7)+(G91*2)</f>
        <v>0</v>
      </c>
      <c r="H97" s="189">
        <v>4.8</v>
      </c>
      <c r="I97" s="189">
        <f>ROUND((H97*(1+$J$4)),2)</f>
        <v>6.38</v>
      </c>
      <c r="J97" s="190">
        <f t="shared" si="6"/>
        <v>0</v>
      </c>
    </row>
    <row r="98" spans="1:10" ht="39" customHeight="1" hidden="1">
      <c r="A98" s="234" t="s">
        <v>284</v>
      </c>
      <c r="B98" s="186" t="s">
        <v>119</v>
      </c>
      <c r="C98" s="186" t="s">
        <v>230</v>
      </c>
      <c r="D98" s="292" t="s">
        <v>232</v>
      </c>
      <c r="E98" s="292"/>
      <c r="F98" s="186" t="s">
        <v>52</v>
      </c>
      <c r="G98" s="188">
        <v>0</v>
      </c>
      <c r="H98" s="189">
        <v>42.73</v>
      </c>
      <c r="I98" s="189">
        <f>ROUND((H98*(1+$J$5)),2)</f>
        <v>51.59</v>
      </c>
      <c r="J98" s="190">
        <f t="shared" si="6"/>
        <v>0</v>
      </c>
    </row>
    <row r="99" spans="1:10" ht="39.75" customHeight="1" hidden="1" thickBot="1">
      <c r="A99" s="234" t="s">
        <v>285</v>
      </c>
      <c r="B99" s="237" t="s">
        <v>119</v>
      </c>
      <c r="C99" s="238">
        <v>72799</v>
      </c>
      <c r="D99" s="293" t="s">
        <v>281</v>
      </c>
      <c r="E99" s="293"/>
      <c r="F99" s="237" t="s">
        <v>52</v>
      </c>
      <c r="G99" s="239">
        <f>G98*10%</f>
        <v>0</v>
      </c>
      <c r="H99" s="240">
        <v>69.33</v>
      </c>
      <c r="I99" s="240">
        <f>ROUND((H99*(1+$J$5)),2)</f>
        <v>83.7</v>
      </c>
      <c r="J99" s="241">
        <f t="shared" si="6"/>
        <v>0</v>
      </c>
    </row>
    <row r="100" spans="1:10" ht="13.5" hidden="1" thickBot="1">
      <c r="A100" s="191"/>
      <c r="B100" s="192"/>
      <c r="C100" s="193"/>
      <c r="D100" s="306" t="s">
        <v>113</v>
      </c>
      <c r="E100" s="306"/>
      <c r="F100" s="194"/>
      <c r="G100" s="194"/>
      <c r="H100" s="195"/>
      <c r="I100" s="196"/>
      <c r="J100" s="197">
        <f>SUM(J63:J99)</f>
        <v>575194.2676826101</v>
      </c>
    </row>
    <row r="101" spans="1:10" ht="9" customHeight="1" hidden="1">
      <c r="A101" s="242"/>
      <c r="B101" s="242"/>
      <c r="C101" s="243"/>
      <c r="D101" s="244"/>
      <c r="E101" s="244"/>
      <c r="F101" s="245"/>
      <c r="G101" s="245"/>
      <c r="H101" s="246"/>
      <c r="I101" s="247"/>
      <c r="J101" s="247"/>
    </row>
    <row r="102" spans="1:10" ht="9.75" customHeight="1" hidden="1" thickBot="1">
      <c r="A102" s="168"/>
      <c r="B102" s="168"/>
      <c r="C102" s="248"/>
      <c r="D102" s="249"/>
      <c r="E102" s="249"/>
      <c r="F102" s="250"/>
      <c r="G102" s="250"/>
      <c r="H102" s="251"/>
      <c r="I102" s="252"/>
      <c r="J102" s="252"/>
    </row>
    <row r="103" spans="1:10" ht="15.75" customHeight="1" hidden="1" thickBot="1">
      <c r="A103" s="301" t="s">
        <v>353</v>
      </c>
      <c r="B103" s="302"/>
      <c r="C103" s="302"/>
      <c r="D103" s="302"/>
      <c r="E103" s="302"/>
      <c r="F103" s="302"/>
      <c r="G103" s="173" t="s">
        <v>221</v>
      </c>
      <c r="H103" s="174">
        <v>450</v>
      </c>
      <c r="I103" s="173" t="s">
        <v>220</v>
      </c>
      <c r="J103" s="175">
        <v>7</v>
      </c>
    </row>
    <row r="104" spans="1:10" ht="13.5" hidden="1" thickBot="1">
      <c r="A104" s="176">
        <v>7</v>
      </c>
      <c r="B104" s="177"/>
      <c r="C104" s="178"/>
      <c r="D104" s="257" t="s">
        <v>103</v>
      </c>
      <c r="E104" s="258"/>
      <c r="F104" s="178"/>
      <c r="G104" s="259"/>
      <c r="H104" s="260"/>
      <c r="I104" s="261"/>
      <c r="J104" s="262"/>
    </row>
    <row r="105" spans="1:10" ht="12.75" customHeight="1" hidden="1">
      <c r="A105" s="213" t="s">
        <v>104</v>
      </c>
      <c r="B105" s="214" t="s">
        <v>119</v>
      </c>
      <c r="C105" s="214" t="s">
        <v>121</v>
      </c>
      <c r="D105" s="303" t="s">
        <v>265</v>
      </c>
      <c r="E105" s="304"/>
      <c r="F105" s="214" t="s">
        <v>52</v>
      </c>
      <c r="G105" s="215">
        <f>(450*7*2)</f>
        <v>6300</v>
      </c>
      <c r="H105" s="216">
        <v>0.59</v>
      </c>
      <c r="I105" s="189">
        <f>ROUND((H105*(1+$J$5)),2)</f>
        <v>0.71</v>
      </c>
      <c r="J105" s="190">
        <f aca="true" t="shared" si="7" ref="J105:J113">G105*I105</f>
        <v>4473</v>
      </c>
    </row>
    <row r="106" spans="1:10" ht="12.75" customHeight="1" hidden="1">
      <c r="A106" s="217" t="s">
        <v>105</v>
      </c>
      <c r="B106" s="186" t="s">
        <v>122</v>
      </c>
      <c r="C106" s="186"/>
      <c r="D106" s="324" t="s">
        <v>302</v>
      </c>
      <c r="E106" s="325"/>
      <c r="F106" s="186" t="s">
        <v>53</v>
      </c>
      <c r="G106" s="218">
        <f>(0.5*(G105))/1000</f>
        <v>3.15</v>
      </c>
      <c r="H106" s="219">
        <v>2270.07</v>
      </c>
      <c r="I106" s="189">
        <f>ROUND((H106*(1+$J$6)),2)</f>
        <v>2610.58</v>
      </c>
      <c r="J106" s="190">
        <f t="shared" si="7"/>
        <v>8223.327</v>
      </c>
    </row>
    <row r="107" spans="1:10" ht="12.75" customHeight="1" hidden="1">
      <c r="A107" s="217" t="s">
        <v>51</v>
      </c>
      <c r="B107" s="186" t="s">
        <v>119</v>
      </c>
      <c r="C107" s="186">
        <v>93176</v>
      </c>
      <c r="D107" s="286" t="s">
        <v>303</v>
      </c>
      <c r="E107" s="287"/>
      <c r="F107" s="186" t="s">
        <v>125</v>
      </c>
      <c r="G107" s="218">
        <f>(G106)*305</f>
        <v>960.75</v>
      </c>
      <c r="H107" s="189">
        <v>0.47</v>
      </c>
      <c r="I107" s="189">
        <f>ROUND((H107*(1+$J$6)),2)</f>
        <v>0.54</v>
      </c>
      <c r="J107" s="190">
        <f t="shared" si="7"/>
        <v>518.8050000000001</v>
      </c>
    </row>
    <row r="108" spans="1:10" ht="30" customHeight="1" hidden="1">
      <c r="A108" s="217" t="s">
        <v>50</v>
      </c>
      <c r="B108" s="186" t="s">
        <v>119</v>
      </c>
      <c r="C108" s="186">
        <v>95993</v>
      </c>
      <c r="D108" s="286" t="s">
        <v>261</v>
      </c>
      <c r="E108" s="287"/>
      <c r="F108" s="220" t="s">
        <v>124</v>
      </c>
      <c r="G108" s="218">
        <f>(G105/2)*0.025</f>
        <v>78.75</v>
      </c>
      <c r="H108" s="221">
        <v>669</v>
      </c>
      <c r="I108" s="189">
        <f>ROUND((H108*(1+$J$5)),2)</f>
        <v>807.68</v>
      </c>
      <c r="J108" s="190">
        <f t="shared" si="7"/>
        <v>63604.799999999996</v>
      </c>
    </row>
    <row r="109" spans="1:10" ht="30" customHeight="1" hidden="1">
      <c r="A109" s="217" t="s">
        <v>106</v>
      </c>
      <c r="B109" s="186" t="s">
        <v>119</v>
      </c>
      <c r="C109" s="186">
        <v>95993</v>
      </c>
      <c r="D109" s="286" t="s">
        <v>304</v>
      </c>
      <c r="E109" s="287"/>
      <c r="F109" s="220" t="s">
        <v>124</v>
      </c>
      <c r="G109" s="218">
        <f>(G105/2)*0.04</f>
        <v>126</v>
      </c>
      <c r="H109" s="221">
        <v>629.7</v>
      </c>
      <c r="I109" s="189">
        <f>ROUND((H109*(1+$J$5)),2)</f>
        <v>760.24</v>
      </c>
      <c r="J109" s="190">
        <f t="shared" si="7"/>
        <v>95790.24</v>
      </c>
    </row>
    <row r="110" spans="1:10" ht="30" customHeight="1" hidden="1">
      <c r="A110" s="217" t="s">
        <v>107</v>
      </c>
      <c r="B110" s="186" t="s">
        <v>119</v>
      </c>
      <c r="C110" s="186">
        <v>72891</v>
      </c>
      <c r="D110" s="286" t="s">
        <v>267</v>
      </c>
      <c r="E110" s="287"/>
      <c r="F110" s="220" t="s">
        <v>124</v>
      </c>
      <c r="G110" s="218">
        <f>G108+G109</f>
        <v>204.75</v>
      </c>
      <c r="H110" s="189">
        <v>5.92</v>
      </c>
      <c r="I110" s="189">
        <f>ROUND((H110*(1+$J$5)),2)</f>
        <v>7.15</v>
      </c>
      <c r="J110" s="190">
        <f t="shared" si="7"/>
        <v>1463.9625</v>
      </c>
    </row>
    <row r="111" spans="1:10" ht="13.5" hidden="1" thickBot="1">
      <c r="A111" s="217" t="s">
        <v>108</v>
      </c>
      <c r="B111" s="186" t="s">
        <v>119</v>
      </c>
      <c r="C111" s="186">
        <v>95303</v>
      </c>
      <c r="D111" s="292" t="s">
        <v>290</v>
      </c>
      <c r="E111" s="292"/>
      <c r="F111" s="220" t="s">
        <v>269</v>
      </c>
      <c r="G111" s="218">
        <f>G110*105</f>
        <v>21498.75</v>
      </c>
      <c r="H111" s="189">
        <v>1.03</v>
      </c>
      <c r="I111" s="189">
        <f>ROUND((H111*(1+$J$6)),2)</f>
        <v>1.18</v>
      </c>
      <c r="J111" s="190">
        <f t="shared" si="7"/>
        <v>25368.524999999998</v>
      </c>
    </row>
    <row r="112" spans="1:10" ht="12.75" customHeight="1" hidden="1">
      <c r="A112" s="217" t="s">
        <v>132</v>
      </c>
      <c r="B112" s="186" t="s">
        <v>122</v>
      </c>
      <c r="C112" s="186"/>
      <c r="D112" s="324" t="s">
        <v>270</v>
      </c>
      <c r="E112" s="325"/>
      <c r="F112" s="186" t="s">
        <v>53</v>
      </c>
      <c r="G112" s="218">
        <f>(G108+G109)*2.5548*6%</f>
        <v>31.385718000000004</v>
      </c>
      <c r="H112" s="219">
        <v>3156.71</v>
      </c>
      <c r="I112" s="189">
        <f>ROUND((H112*(1+$J$6)),2)</f>
        <v>3630.22</v>
      </c>
      <c r="J112" s="190">
        <f t="shared" si="7"/>
        <v>113937.06119796</v>
      </c>
    </row>
    <row r="113" spans="1:10" ht="12.75" customHeight="1" hidden="1">
      <c r="A113" s="217" t="s">
        <v>305</v>
      </c>
      <c r="B113" s="226" t="s">
        <v>119</v>
      </c>
      <c r="C113" s="223">
        <v>93176</v>
      </c>
      <c r="D113" s="296" t="s">
        <v>307</v>
      </c>
      <c r="E113" s="297"/>
      <c r="F113" s="223" t="s">
        <v>125</v>
      </c>
      <c r="G113" s="224">
        <f>G112*305</f>
        <v>9572.64399</v>
      </c>
      <c r="H113" s="225">
        <v>0.47</v>
      </c>
      <c r="I113" s="189">
        <f>ROUND((H113*(1+$J$6)),2)</f>
        <v>0.54</v>
      </c>
      <c r="J113" s="190">
        <f t="shared" si="7"/>
        <v>5169.2277546000005</v>
      </c>
    </row>
    <row r="114" spans="1:10" ht="15" customHeight="1" hidden="1">
      <c r="A114" s="204">
        <v>9</v>
      </c>
      <c r="B114" s="205"/>
      <c r="C114" s="206"/>
      <c r="D114" s="298" t="s">
        <v>44</v>
      </c>
      <c r="E114" s="299"/>
      <c r="F114" s="206" t="s">
        <v>54</v>
      </c>
      <c r="G114" s="209"/>
      <c r="H114" s="227"/>
      <c r="I114" s="227"/>
      <c r="J114" s="228"/>
    </row>
    <row r="115" spans="1:10" ht="15" customHeight="1" hidden="1">
      <c r="A115" s="217" t="s">
        <v>137</v>
      </c>
      <c r="B115" s="186" t="s">
        <v>120</v>
      </c>
      <c r="C115" s="186" t="s">
        <v>51</v>
      </c>
      <c r="D115" s="330" t="s">
        <v>45</v>
      </c>
      <c r="E115" s="331"/>
      <c r="F115" s="186" t="s">
        <v>55</v>
      </c>
      <c r="G115" s="235">
        <f>ROUNDUP(G105/700/2,0)</f>
        <v>5</v>
      </c>
      <c r="H115" s="189">
        <v>290.32</v>
      </c>
      <c r="I115" s="189">
        <f>ROUND((H115*(1+$J$5)),2)</f>
        <v>350.5</v>
      </c>
      <c r="J115" s="190">
        <f>G115*I115</f>
        <v>1752.5</v>
      </c>
    </row>
    <row r="116" spans="1:10" ht="15" customHeight="1" hidden="1">
      <c r="A116" s="263" t="s">
        <v>138</v>
      </c>
      <c r="B116" s="226" t="s">
        <v>120</v>
      </c>
      <c r="C116" s="226" t="s">
        <v>50</v>
      </c>
      <c r="D116" s="340" t="s">
        <v>274</v>
      </c>
      <c r="E116" s="341"/>
      <c r="F116" s="226" t="s">
        <v>55</v>
      </c>
      <c r="G116" s="264">
        <f>ROUNDUP(G105/700/2,0)</f>
        <v>5</v>
      </c>
      <c r="H116" s="265">
        <v>175.4</v>
      </c>
      <c r="I116" s="265">
        <f>ROUND((H116*(1+$J$5)),2)</f>
        <v>211.76</v>
      </c>
      <c r="J116" s="190">
        <f>G116*I116</f>
        <v>1058.8</v>
      </c>
    </row>
    <row r="117" spans="1:10" ht="15" customHeight="1" hidden="1">
      <c r="A117" s="204">
        <v>10</v>
      </c>
      <c r="B117" s="205"/>
      <c r="C117" s="206"/>
      <c r="D117" s="298" t="s">
        <v>43</v>
      </c>
      <c r="E117" s="299"/>
      <c r="F117" s="206" t="s">
        <v>54</v>
      </c>
      <c r="G117" s="230"/>
      <c r="H117" s="227"/>
      <c r="I117" s="227"/>
      <c r="J117" s="228"/>
    </row>
    <row r="118" spans="1:10" ht="30.75" customHeight="1" hidden="1">
      <c r="A118" s="217" t="s">
        <v>109</v>
      </c>
      <c r="B118" s="226" t="s">
        <v>120</v>
      </c>
      <c r="C118" s="186">
        <v>7262</v>
      </c>
      <c r="D118" s="286" t="s">
        <v>46</v>
      </c>
      <c r="E118" s="287"/>
      <c r="F118" s="186" t="s">
        <v>52</v>
      </c>
      <c r="G118" s="188">
        <f>450*2*0.1</f>
        <v>90</v>
      </c>
      <c r="H118" s="189">
        <v>20.32</v>
      </c>
      <c r="I118" s="189">
        <f>ROUND((H118*(1+$J$4)),2)</f>
        <v>27.01</v>
      </c>
      <c r="J118" s="190">
        <f>G118*I118</f>
        <v>2430.9</v>
      </c>
    </row>
    <row r="119" spans="1:10" ht="30.75" customHeight="1" hidden="1">
      <c r="A119" s="217" t="s">
        <v>110</v>
      </c>
      <c r="B119" s="226" t="s">
        <v>120</v>
      </c>
      <c r="C119" s="186">
        <v>7262</v>
      </c>
      <c r="D119" s="286" t="s">
        <v>145</v>
      </c>
      <c r="E119" s="287"/>
      <c r="F119" s="186" t="s">
        <v>52</v>
      </c>
      <c r="G119" s="188">
        <f>(3*0.3*16*1)</f>
        <v>14.399999999999999</v>
      </c>
      <c r="H119" s="189">
        <v>20.32</v>
      </c>
      <c r="I119" s="189">
        <f>ROUND((H119*(1+$J$4)),2)</f>
        <v>27.01</v>
      </c>
      <c r="J119" s="190">
        <f>G119*I119</f>
        <v>388.94399999999996</v>
      </c>
    </row>
    <row r="120" spans="1:10" ht="30.75" customHeight="1" hidden="1">
      <c r="A120" s="217" t="s">
        <v>111</v>
      </c>
      <c r="B120" s="226" t="s">
        <v>120</v>
      </c>
      <c r="C120" s="186">
        <v>7262</v>
      </c>
      <c r="D120" s="292" t="s">
        <v>242</v>
      </c>
      <c r="E120" s="292"/>
      <c r="F120" s="186" t="s">
        <v>52</v>
      </c>
      <c r="G120" s="188">
        <v>1.05</v>
      </c>
      <c r="H120" s="189">
        <v>20.32</v>
      </c>
      <c r="I120" s="189">
        <f>ROUND((H120*(1+$J$4)),2)</f>
        <v>27.01</v>
      </c>
      <c r="J120" s="190">
        <f>G120*I120</f>
        <v>28.360500000000002</v>
      </c>
    </row>
    <row r="121" spans="1:10" ht="15" customHeight="1" hidden="1">
      <c r="A121" s="217" t="s">
        <v>263</v>
      </c>
      <c r="B121" s="226" t="s">
        <v>120</v>
      </c>
      <c r="C121" s="226">
        <v>7753</v>
      </c>
      <c r="D121" s="294" t="s">
        <v>47</v>
      </c>
      <c r="E121" s="295"/>
      <c r="F121" s="226" t="s">
        <v>55</v>
      </c>
      <c r="G121" s="229">
        <v>1</v>
      </c>
      <c r="H121" s="225">
        <v>37.12</v>
      </c>
      <c r="I121" s="265">
        <f>ROUND((H121*(1+$J$4)),2)</f>
        <v>49.33</v>
      </c>
      <c r="J121" s="190">
        <f>G121*I121</f>
        <v>49.33</v>
      </c>
    </row>
    <row r="122" spans="1:10" ht="15" customHeight="1" hidden="1">
      <c r="A122" s="204">
        <v>11</v>
      </c>
      <c r="B122" s="205"/>
      <c r="C122" s="206"/>
      <c r="D122" s="298" t="s">
        <v>114</v>
      </c>
      <c r="E122" s="299"/>
      <c r="F122" s="206" t="s">
        <v>54</v>
      </c>
      <c r="G122" s="230"/>
      <c r="H122" s="227"/>
      <c r="I122" s="227"/>
      <c r="J122" s="228"/>
    </row>
    <row r="123" spans="1:10" ht="13.5" hidden="1" thickBot="1">
      <c r="A123" s="266" t="s">
        <v>112</v>
      </c>
      <c r="B123" s="186" t="s">
        <v>222</v>
      </c>
      <c r="C123" s="186" t="s">
        <v>293</v>
      </c>
      <c r="D123" s="300" t="s">
        <v>223</v>
      </c>
      <c r="E123" s="300"/>
      <c r="F123" s="186" t="s">
        <v>52</v>
      </c>
      <c r="G123" s="188"/>
      <c r="H123" s="189">
        <f>4080.2*(313.515/275.288)</f>
        <v>4646.784106099793</v>
      </c>
      <c r="I123" s="189">
        <f>ROUND((H123*(1+$J$5)),2)</f>
        <v>5610.06</v>
      </c>
      <c r="J123" s="190">
        <f aca="true" t="shared" si="8" ref="J123:J134">G123*I123</f>
        <v>0</v>
      </c>
    </row>
    <row r="124" spans="1:10" ht="26.25" customHeight="1" hidden="1">
      <c r="A124" s="234" t="s">
        <v>128</v>
      </c>
      <c r="B124" s="186" t="s">
        <v>119</v>
      </c>
      <c r="C124" s="186">
        <v>92855</v>
      </c>
      <c r="D124" s="292" t="s">
        <v>296</v>
      </c>
      <c r="E124" s="292"/>
      <c r="F124" s="186" t="s">
        <v>154</v>
      </c>
      <c r="G124" s="188"/>
      <c r="H124" s="189">
        <v>300.9</v>
      </c>
      <c r="I124" s="189">
        <f>ROUND((H124*(1+$J$5)),2)</f>
        <v>363.28</v>
      </c>
      <c r="J124" s="190">
        <f t="shared" si="8"/>
        <v>0</v>
      </c>
    </row>
    <row r="125" spans="1:10" ht="15" customHeight="1" hidden="1">
      <c r="A125" s="234" t="s">
        <v>226</v>
      </c>
      <c r="B125" s="186" t="s">
        <v>120</v>
      </c>
      <c r="C125" s="186">
        <v>1130</v>
      </c>
      <c r="D125" s="292" t="s">
        <v>224</v>
      </c>
      <c r="E125" s="292"/>
      <c r="F125" s="186" t="s">
        <v>154</v>
      </c>
      <c r="G125" s="188"/>
      <c r="H125" s="189">
        <v>152.7</v>
      </c>
      <c r="I125" s="189">
        <f>ROUND((H125*(1+$J$4)),2)</f>
        <v>202.94</v>
      </c>
      <c r="J125" s="190">
        <f t="shared" si="8"/>
        <v>0</v>
      </c>
    </row>
    <row r="126" spans="1:10" ht="15" customHeight="1" hidden="1">
      <c r="A126" s="234" t="s">
        <v>231</v>
      </c>
      <c r="B126" s="186" t="s">
        <v>120</v>
      </c>
      <c r="C126" s="186">
        <v>1140</v>
      </c>
      <c r="D126" s="292" t="s">
        <v>294</v>
      </c>
      <c r="E126" s="292"/>
      <c r="F126" s="186" t="s">
        <v>154</v>
      </c>
      <c r="G126" s="188"/>
      <c r="H126" s="189">
        <v>195.31</v>
      </c>
      <c r="I126" s="189">
        <f>ROUND((H126*(1+$J$4)),2)</f>
        <v>259.57</v>
      </c>
      <c r="J126" s="190">
        <f t="shared" si="8"/>
        <v>0</v>
      </c>
    </row>
    <row r="127" spans="1:10" ht="13.5" hidden="1" thickBot="1">
      <c r="A127" s="234" t="s">
        <v>277</v>
      </c>
      <c r="B127" s="186" t="s">
        <v>120</v>
      </c>
      <c r="C127" s="186">
        <v>1030</v>
      </c>
      <c r="D127" s="286" t="s">
        <v>295</v>
      </c>
      <c r="E127" s="287"/>
      <c r="F127" s="186" t="s">
        <v>124</v>
      </c>
      <c r="G127" s="188"/>
      <c r="H127" s="189">
        <v>17.45</v>
      </c>
      <c r="I127" s="189">
        <f>ROUND((H127*(1+$J$4)),2)</f>
        <v>23.19</v>
      </c>
      <c r="J127" s="190">
        <f t="shared" si="8"/>
        <v>0</v>
      </c>
    </row>
    <row r="128" spans="1:10" ht="23.25" customHeight="1" hidden="1">
      <c r="A128" s="234" t="s">
        <v>278</v>
      </c>
      <c r="B128" s="186" t="s">
        <v>341</v>
      </c>
      <c r="C128" s="186">
        <v>95875</v>
      </c>
      <c r="D128" s="286" t="s">
        <v>286</v>
      </c>
      <c r="E128" s="287"/>
      <c r="F128" s="186" t="s">
        <v>269</v>
      </c>
      <c r="G128" s="188"/>
      <c r="H128" s="189">
        <v>1.15</v>
      </c>
      <c r="I128" s="189">
        <f>ROUND((H128*(1+$J$5)),2)</f>
        <v>1.39</v>
      </c>
      <c r="J128" s="190">
        <f t="shared" si="8"/>
        <v>0</v>
      </c>
    </row>
    <row r="129" spans="1:10" ht="13.5" hidden="1" thickBot="1">
      <c r="A129" s="234" t="s">
        <v>284</v>
      </c>
      <c r="B129" s="186" t="s">
        <v>120</v>
      </c>
      <c r="C129" s="186">
        <v>6464</v>
      </c>
      <c r="D129" s="290" t="s">
        <v>282</v>
      </c>
      <c r="E129" s="291"/>
      <c r="F129" s="186" t="s">
        <v>124</v>
      </c>
      <c r="G129" s="188"/>
      <c r="H129" s="189">
        <v>87.97</v>
      </c>
      <c r="I129" s="189">
        <f>ROUND((H129*(1+$J$4)),2)</f>
        <v>116.91</v>
      </c>
      <c r="J129" s="190">
        <f t="shared" si="8"/>
        <v>0</v>
      </c>
    </row>
    <row r="130" spans="1:10" ht="13.5" hidden="1" thickBot="1">
      <c r="A130" s="234" t="s">
        <v>285</v>
      </c>
      <c r="B130" s="186" t="s">
        <v>119</v>
      </c>
      <c r="C130" s="186">
        <v>94968</v>
      </c>
      <c r="D130" s="290" t="s">
        <v>297</v>
      </c>
      <c r="E130" s="291"/>
      <c r="F130" s="186" t="s">
        <v>124</v>
      </c>
      <c r="G130" s="188"/>
      <c r="H130" s="189">
        <v>270.4</v>
      </c>
      <c r="I130" s="189">
        <f>ROUND((H130*(1+$J$5)),2)</f>
        <v>326.45</v>
      </c>
      <c r="J130" s="190">
        <f t="shared" si="8"/>
        <v>0</v>
      </c>
    </row>
    <row r="131" spans="1:10" ht="15" customHeight="1" hidden="1">
      <c r="A131" s="234" t="s">
        <v>298</v>
      </c>
      <c r="B131" s="186" t="s">
        <v>120</v>
      </c>
      <c r="C131" s="186">
        <v>1079</v>
      </c>
      <c r="D131" s="286" t="s">
        <v>283</v>
      </c>
      <c r="E131" s="287"/>
      <c r="F131" s="186" t="s">
        <v>124</v>
      </c>
      <c r="G131" s="188"/>
      <c r="H131" s="189">
        <v>65.57</v>
      </c>
      <c r="I131" s="189">
        <f>ROUND((H131*(1+$J$4)),2)</f>
        <v>87.14</v>
      </c>
      <c r="J131" s="190">
        <f t="shared" si="8"/>
        <v>0</v>
      </c>
    </row>
    <row r="132" spans="1:10" ht="13.5" hidden="1" thickBot="1">
      <c r="A132" s="234" t="s">
        <v>299</v>
      </c>
      <c r="B132" s="186" t="s">
        <v>120</v>
      </c>
      <c r="C132" s="236">
        <v>548</v>
      </c>
      <c r="D132" s="292" t="s">
        <v>276</v>
      </c>
      <c r="E132" s="292"/>
      <c r="F132" s="186" t="s">
        <v>52</v>
      </c>
      <c r="G132" s="188"/>
      <c r="H132" s="189">
        <v>4.8</v>
      </c>
      <c r="I132" s="189">
        <f>ROUND((H132*(1+$J$4)),2)</f>
        <v>6.38</v>
      </c>
      <c r="J132" s="190">
        <f t="shared" si="8"/>
        <v>0</v>
      </c>
    </row>
    <row r="133" spans="1:10" ht="39" customHeight="1" hidden="1">
      <c r="A133" s="234" t="s">
        <v>300</v>
      </c>
      <c r="B133" s="186" t="s">
        <v>119</v>
      </c>
      <c r="C133" s="186" t="s">
        <v>230</v>
      </c>
      <c r="D133" s="292" t="s">
        <v>232</v>
      </c>
      <c r="E133" s="292"/>
      <c r="F133" s="186" t="s">
        <v>52</v>
      </c>
      <c r="G133" s="188"/>
      <c r="H133" s="189">
        <v>42.73</v>
      </c>
      <c r="I133" s="189">
        <f>ROUND((H133*(1+$J$5)),2)</f>
        <v>51.59</v>
      </c>
      <c r="J133" s="190">
        <f t="shared" si="8"/>
        <v>0</v>
      </c>
    </row>
    <row r="134" spans="1:10" ht="44.25" customHeight="1" hidden="1" thickBot="1">
      <c r="A134" s="234" t="s">
        <v>301</v>
      </c>
      <c r="B134" s="237" t="s">
        <v>119</v>
      </c>
      <c r="C134" s="238">
        <v>72799</v>
      </c>
      <c r="D134" s="293" t="s">
        <v>281</v>
      </c>
      <c r="E134" s="293"/>
      <c r="F134" s="237" t="s">
        <v>52</v>
      </c>
      <c r="G134" s="239"/>
      <c r="H134" s="240">
        <v>69.33</v>
      </c>
      <c r="I134" s="240">
        <f>ROUND((H134*(1+$J$5)),2)</f>
        <v>83.7</v>
      </c>
      <c r="J134" s="190">
        <f t="shared" si="8"/>
        <v>0</v>
      </c>
    </row>
    <row r="135" spans="1:10" ht="13.5" hidden="1" thickBot="1">
      <c r="A135" s="191"/>
      <c r="B135" s="192"/>
      <c r="C135" s="193"/>
      <c r="D135" s="306" t="s">
        <v>113</v>
      </c>
      <c r="E135" s="306"/>
      <c r="F135" s="194"/>
      <c r="G135" s="194"/>
      <c r="H135" s="195"/>
      <c r="I135" s="196"/>
      <c r="J135" s="197">
        <f>SUM(J104:J134)</f>
        <v>324257.78295256005</v>
      </c>
    </row>
    <row r="136" spans="1:10" ht="13.5" hidden="1" thickBot="1">
      <c r="A136" s="198"/>
      <c r="B136" s="198"/>
      <c r="C136" s="199"/>
      <c r="D136" s="200"/>
      <c r="E136" s="200"/>
      <c r="F136" s="201"/>
      <c r="G136" s="201"/>
      <c r="H136" s="202"/>
      <c r="I136" s="203"/>
      <c r="J136" s="203"/>
    </row>
    <row r="137" spans="1:10" ht="15.75" customHeight="1" hidden="1" thickBot="1">
      <c r="A137" s="301" t="s">
        <v>236</v>
      </c>
      <c r="B137" s="302"/>
      <c r="C137" s="302"/>
      <c r="D137" s="302"/>
      <c r="E137" s="302"/>
      <c r="F137" s="302"/>
      <c r="G137" s="173" t="s">
        <v>221</v>
      </c>
      <c r="H137" s="174">
        <v>474.26</v>
      </c>
      <c r="I137" s="173" t="s">
        <v>220</v>
      </c>
      <c r="J137" s="175">
        <v>7</v>
      </c>
    </row>
    <row r="138" spans="1:10" ht="13.5" hidden="1" thickBot="1">
      <c r="A138" s="176">
        <v>7</v>
      </c>
      <c r="B138" s="177"/>
      <c r="C138" s="178"/>
      <c r="D138" s="257" t="s">
        <v>103</v>
      </c>
      <c r="E138" s="258"/>
      <c r="F138" s="178"/>
      <c r="G138" s="259"/>
      <c r="H138" s="260"/>
      <c r="I138" s="261"/>
      <c r="J138" s="262"/>
    </row>
    <row r="139" spans="1:10" ht="12.75" customHeight="1" hidden="1">
      <c r="A139" s="213" t="s">
        <v>104</v>
      </c>
      <c r="B139" s="214" t="s">
        <v>119</v>
      </c>
      <c r="C139" s="214" t="s">
        <v>121</v>
      </c>
      <c r="D139" s="303" t="s">
        <v>265</v>
      </c>
      <c r="E139" s="304"/>
      <c r="F139" s="214" t="s">
        <v>52</v>
      </c>
      <c r="G139" s="215">
        <f>(3300.14*2)</f>
        <v>6600.28</v>
      </c>
      <c r="H139" s="216">
        <v>0.59</v>
      </c>
      <c r="I139" s="189">
        <f>ROUND((H139*(1+$J$5)),2)</f>
        <v>0.71</v>
      </c>
      <c r="J139" s="233">
        <f aca="true" t="shared" si="9" ref="J139:J147">G139*I139</f>
        <v>4686.198799999999</v>
      </c>
    </row>
    <row r="140" spans="1:10" ht="12.75" customHeight="1" hidden="1">
      <c r="A140" s="217" t="s">
        <v>105</v>
      </c>
      <c r="B140" s="186" t="s">
        <v>122</v>
      </c>
      <c r="C140" s="186"/>
      <c r="D140" s="288" t="s">
        <v>306</v>
      </c>
      <c r="E140" s="289"/>
      <c r="F140" s="255" t="s">
        <v>53</v>
      </c>
      <c r="G140" s="256">
        <f>(0.5*(G139))/1000</f>
        <v>3.30014</v>
      </c>
      <c r="H140" s="267">
        <v>2270.07</v>
      </c>
      <c r="I140" s="189">
        <f>ROUND((H140*(1+$J$6)),2)</f>
        <v>2610.58</v>
      </c>
      <c r="J140" s="190">
        <f>G140*I140</f>
        <v>8615.2794812</v>
      </c>
    </row>
    <row r="141" spans="1:10" ht="12.75" customHeight="1" hidden="1">
      <c r="A141" s="217" t="s">
        <v>51</v>
      </c>
      <c r="B141" s="186" t="s">
        <v>119</v>
      </c>
      <c r="C141" s="186">
        <v>93176</v>
      </c>
      <c r="D141" s="288" t="s">
        <v>272</v>
      </c>
      <c r="E141" s="289"/>
      <c r="F141" s="255" t="s">
        <v>125</v>
      </c>
      <c r="G141" s="256">
        <f>(G140)*305</f>
        <v>1006.5427</v>
      </c>
      <c r="H141" s="267">
        <v>0.47</v>
      </c>
      <c r="I141" s="189">
        <f>ROUND((H141*(1+$J$6)),2)</f>
        <v>0.54</v>
      </c>
      <c r="J141" s="190">
        <f t="shared" si="9"/>
        <v>543.533058</v>
      </c>
    </row>
    <row r="142" spans="1:10" ht="30" customHeight="1" hidden="1">
      <c r="A142" s="217" t="s">
        <v>50</v>
      </c>
      <c r="B142" s="186" t="s">
        <v>119</v>
      </c>
      <c r="C142" s="186">
        <v>95993</v>
      </c>
      <c r="D142" s="288" t="s">
        <v>261</v>
      </c>
      <c r="E142" s="289"/>
      <c r="F142" s="268" t="s">
        <v>124</v>
      </c>
      <c r="G142" s="256">
        <f>(G139/2)*0.025</f>
        <v>82.5035</v>
      </c>
      <c r="H142" s="267">
        <v>669</v>
      </c>
      <c r="I142" s="189">
        <f>ROUND((H142*(1+$J$5)),2)</f>
        <v>807.68</v>
      </c>
      <c r="J142" s="190">
        <f t="shared" si="9"/>
        <v>66636.42688</v>
      </c>
    </row>
    <row r="143" spans="1:10" ht="30" customHeight="1" hidden="1">
      <c r="A143" s="217" t="s">
        <v>106</v>
      </c>
      <c r="B143" s="186" t="s">
        <v>119</v>
      </c>
      <c r="C143" s="186">
        <v>95993</v>
      </c>
      <c r="D143" s="308" t="s">
        <v>131</v>
      </c>
      <c r="E143" s="308"/>
      <c r="F143" s="268" t="s">
        <v>124</v>
      </c>
      <c r="G143" s="256">
        <f>(G139/2)*0.04</f>
        <v>132.0056</v>
      </c>
      <c r="H143" s="267">
        <v>629.7</v>
      </c>
      <c r="I143" s="189">
        <f>ROUND((H143*(1+$J$5)),2)</f>
        <v>760.24</v>
      </c>
      <c r="J143" s="190">
        <f t="shared" si="9"/>
        <v>100355.93734399999</v>
      </c>
    </row>
    <row r="144" spans="1:10" ht="30" customHeight="1" hidden="1">
      <c r="A144" s="217" t="s">
        <v>107</v>
      </c>
      <c r="B144" s="186" t="s">
        <v>119</v>
      </c>
      <c r="C144" s="186">
        <v>72891</v>
      </c>
      <c r="D144" s="288" t="s">
        <v>267</v>
      </c>
      <c r="E144" s="289"/>
      <c r="F144" s="268" t="s">
        <v>124</v>
      </c>
      <c r="G144" s="256">
        <f>G142+G143</f>
        <v>214.5091</v>
      </c>
      <c r="H144" s="267">
        <v>5.92</v>
      </c>
      <c r="I144" s="189">
        <f>ROUND((H144*(1+$J$5)),2)</f>
        <v>7.15</v>
      </c>
      <c r="J144" s="190">
        <f>G144*I144</f>
        <v>1533.740065</v>
      </c>
    </row>
    <row r="145" spans="1:10" ht="13.5" hidden="1" thickBot="1">
      <c r="A145" s="217" t="s">
        <v>108</v>
      </c>
      <c r="B145" s="186" t="s">
        <v>119</v>
      </c>
      <c r="C145" s="186">
        <v>95303</v>
      </c>
      <c r="D145" s="308" t="s">
        <v>290</v>
      </c>
      <c r="E145" s="308"/>
      <c r="F145" s="268" t="s">
        <v>269</v>
      </c>
      <c r="G145" s="256">
        <f>G144*105</f>
        <v>22523.4555</v>
      </c>
      <c r="H145" s="267">
        <v>1.03</v>
      </c>
      <c r="I145" s="189">
        <f>ROUND((H145*(1+$J$6)),2)</f>
        <v>1.18</v>
      </c>
      <c r="J145" s="190">
        <f>G145*I145</f>
        <v>26577.67749</v>
      </c>
    </row>
    <row r="146" spans="1:10" ht="12.75" customHeight="1" hidden="1">
      <c r="A146" s="217" t="s">
        <v>108</v>
      </c>
      <c r="B146" s="186" t="s">
        <v>122</v>
      </c>
      <c r="C146" s="186"/>
      <c r="D146" s="288" t="s">
        <v>270</v>
      </c>
      <c r="E146" s="289"/>
      <c r="F146" s="255" t="s">
        <v>53</v>
      </c>
      <c r="G146" s="256">
        <f>(G142+G143)*2.5548*6%</f>
        <v>32.8816709208</v>
      </c>
      <c r="H146" s="267">
        <v>3156.71</v>
      </c>
      <c r="I146" s="189">
        <f>ROUND((H146*(1+$J$6)),2)</f>
        <v>3630.22</v>
      </c>
      <c r="J146" s="190">
        <f t="shared" si="9"/>
        <v>119367.69941010656</v>
      </c>
    </row>
    <row r="147" spans="1:10" ht="12.75" customHeight="1" hidden="1">
      <c r="A147" s="266" t="s">
        <v>132</v>
      </c>
      <c r="B147" s="226" t="s">
        <v>119</v>
      </c>
      <c r="C147" s="223">
        <v>93176</v>
      </c>
      <c r="D147" s="296" t="s">
        <v>307</v>
      </c>
      <c r="E147" s="297"/>
      <c r="F147" s="223" t="s">
        <v>125</v>
      </c>
      <c r="G147" s="224">
        <f>G146*305</f>
        <v>10028.909630843998</v>
      </c>
      <c r="H147" s="225">
        <v>0.47</v>
      </c>
      <c r="I147" s="189">
        <f>ROUND((H147*(1+$J$6)),2)</f>
        <v>0.54</v>
      </c>
      <c r="J147" s="190">
        <f t="shared" si="9"/>
        <v>5415.61120065576</v>
      </c>
    </row>
    <row r="148" spans="1:10" ht="13.5" hidden="1" thickBot="1">
      <c r="A148" s="204">
        <v>8</v>
      </c>
      <c r="B148" s="205"/>
      <c r="C148" s="206"/>
      <c r="D148" s="298" t="s">
        <v>42</v>
      </c>
      <c r="E148" s="299"/>
      <c r="F148" s="206" t="s">
        <v>54</v>
      </c>
      <c r="G148" s="209"/>
      <c r="H148" s="227"/>
      <c r="I148" s="227"/>
      <c r="J148" s="228"/>
    </row>
    <row r="149" spans="1:10" ht="30.75" customHeight="1" hidden="1">
      <c r="A149" s="213" t="s">
        <v>133</v>
      </c>
      <c r="B149" s="186" t="s">
        <v>119</v>
      </c>
      <c r="C149" s="186">
        <v>95993</v>
      </c>
      <c r="D149" s="307" t="s">
        <v>291</v>
      </c>
      <c r="E149" s="307"/>
      <c r="F149" s="269" t="s">
        <v>124</v>
      </c>
      <c r="G149" s="270">
        <f>(10.05*5*0.15)*(1)</f>
        <v>7.5375</v>
      </c>
      <c r="H149" s="267">
        <v>629.7</v>
      </c>
      <c r="I149" s="189">
        <f>ROUND((H149*(1+$J$5)),2)</f>
        <v>760.24</v>
      </c>
      <c r="J149" s="190">
        <f>G149*I149</f>
        <v>5730.309</v>
      </c>
    </row>
    <row r="150" spans="1:10" ht="30" customHeight="1" hidden="1">
      <c r="A150" s="217" t="s">
        <v>107</v>
      </c>
      <c r="B150" s="186" t="s">
        <v>119</v>
      </c>
      <c r="C150" s="186">
        <v>72891</v>
      </c>
      <c r="D150" s="288" t="s">
        <v>267</v>
      </c>
      <c r="E150" s="289"/>
      <c r="F150" s="268" t="s">
        <v>124</v>
      </c>
      <c r="G150" s="256">
        <f>G149</f>
        <v>7.5375</v>
      </c>
      <c r="H150" s="267">
        <v>5.92</v>
      </c>
      <c r="I150" s="189">
        <f>ROUND((H150*(1+$J$5)),2)</f>
        <v>7.15</v>
      </c>
      <c r="J150" s="190">
        <f>G150*I150</f>
        <v>53.893125</v>
      </c>
    </row>
    <row r="151" spans="1:10" ht="13.5" hidden="1" thickBot="1">
      <c r="A151" s="217" t="s">
        <v>134</v>
      </c>
      <c r="B151" s="186" t="s">
        <v>119</v>
      </c>
      <c r="C151" s="186">
        <v>93596</v>
      </c>
      <c r="D151" s="288" t="s">
        <v>308</v>
      </c>
      <c r="E151" s="289"/>
      <c r="F151" s="268" t="s">
        <v>269</v>
      </c>
      <c r="G151" s="256">
        <f>G149*2.34*105</f>
        <v>1851.9637499999997</v>
      </c>
      <c r="H151" s="267">
        <v>1.03</v>
      </c>
      <c r="I151" s="189">
        <f>ROUND((H151*(1+$J$6)),2)</f>
        <v>1.18</v>
      </c>
      <c r="J151" s="190">
        <f>G151*I151</f>
        <v>2185.3172249999993</v>
      </c>
    </row>
    <row r="152" spans="1:10" ht="30.75" customHeight="1" hidden="1">
      <c r="A152" s="217" t="s">
        <v>135</v>
      </c>
      <c r="B152" s="186" t="s">
        <v>122</v>
      </c>
      <c r="C152" s="186"/>
      <c r="D152" s="288" t="s">
        <v>270</v>
      </c>
      <c r="E152" s="289"/>
      <c r="F152" s="255" t="s">
        <v>53</v>
      </c>
      <c r="G152" s="256">
        <f>G149*2.5548*6%</f>
        <v>1.1554083</v>
      </c>
      <c r="H152" s="267">
        <v>3156.71</v>
      </c>
      <c r="I152" s="189">
        <f>ROUND((H152*(1+$J$6)),2)</f>
        <v>3630.22</v>
      </c>
      <c r="J152" s="190">
        <f>G152*I152</f>
        <v>4194.386318825999</v>
      </c>
    </row>
    <row r="153" spans="1:10" ht="13.5" hidden="1" thickBot="1">
      <c r="A153" s="222" t="s">
        <v>136</v>
      </c>
      <c r="B153" s="226" t="s">
        <v>119</v>
      </c>
      <c r="C153" s="223">
        <v>93176</v>
      </c>
      <c r="D153" s="296" t="s">
        <v>307</v>
      </c>
      <c r="E153" s="297"/>
      <c r="F153" s="223" t="s">
        <v>125</v>
      </c>
      <c r="G153" s="224">
        <f>G152*305</f>
        <v>352.39953149999997</v>
      </c>
      <c r="H153" s="225">
        <v>0.47</v>
      </c>
      <c r="I153" s="189">
        <f>ROUND((H153*(1+$J$6)),2)</f>
        <v>0.54</v>
      </c>
      <c r="J153" s="190">
        <f>G153*I153</f>
        <v>190.29574700999999</v>
      </c>
    </row>
    <row r="154" spans="1:10" ht="15" customHeight="1" hidden="1">
      <c r="A154" s="204">
        <v>9</v>
      </c>
      <c r="B154" s="205"/>
      <c r="C154" s="206"/>
      <c r="D154" s="298" t="s">
        <v>44</v>
      </c>
      <c r="E154" s="299"/>
      <c r="F154" s="206" t="s">
        <v>54</v>
      </c>
      <c r="G154" s="209"/>
      <c r="H154" s="227"/>
      <c r="I154" s="227"/>
      <c r="J154" s="228"/>
    </row>
    <row r="155" spans="1:10" ht="15" customHeight="1" hidden="1">
      <c r="A155" s="217" t="s">
        <v>137</v>
      </c>
      <c r="B155" s="186" t="s">
        <v>120</v>
      </c>
      <c r="C155" s="186" t="s">
        <v>51</v>
      </c>
      <c r="D155" s="286" t="s">
        <v>45</v>
      </c>
      <c r="E155" s="287"/>
      <c r="F155" s="186" t="s">
        <v>55</v>
      </c>
      <c r="G155" s="188">
        <f>ROUNDUP(G139/700,0)/2</f>
        <v>5</v>
      </c>
      <c r="H155" s="189">
        <v>290.32</v>
      </c>
      <c r="I155" s="189">
        <f>ROUND((H155*(1+$J$4)),2)</f>
        <v>385.84</v>
      </c>
      <c r="J155" s="190">
        <f>G155*I155</f>
        <v>1929.1999999999998</v>
      </c>
    </row>
    <row r="156" spans="1:10" ht="15" customHeight="1" hidden="1">
      <c r="A156" s="263" t="s">
        <v>138</v>
      </c>
      <c r="B156" s="226" t="s">
        <v>120</v>
      </c>
      <c r="C156" s="226" t="s">
        <v>50</v>
      </c>
      <c r="D156" s="294" t="s">
        <v>274</v>
      </c>
      <c r="E156" s="295"/>
      <c r="F156" s="226" t="s">
        <v>55</v>
      </c>
      <c r="G156" s="229">
        <f>ROUNDUP(G139/700,0)/2</f>
        <v>5</v>
      </c>
      <c r="H156" s="265">
        <v>175.4</v>
      </c>
      <c r="I156" s="265">
        <f>ROUND((H156*(1+$J$4)),2)</f>
        <v>233.11</v>
      </c>
      <c r="J156" s="271">
        <f>G156*I156</f>
        <v>1165.5500000000002</v>
      </c>
    </row>
    <row r="157" spans="1:10" ht="15" customHeight="1" hidden="1">
      <c r="A157" s="204">
        <v>10</v>
      </c>
      <c r="B157" s="205"/>
      <c r="C157" s="206"/>
      <c r="D157" s="298" t="s">
        <v>43</v>
      </c>
      <c r="E157" s="299"/>
      <c r="F157" s="206" t="s">
        <v>54</v>
      </c>
      <c r="G157" s="230"/>
      <c r="H157" s="227"/>
      <c r="I157" s="227"/>
      <c r="J157" s="228"/>
    </row>
    <row r="158" spans="1:10" ht="30.75" customHeight="1" hidden="1">
      <c r="A158" s="217" t="s">
        <v>109</v>
      </c>
      <c r="B158" s="186" t="s">
        <v>120</v>
      </c>
      <c r="C158" s="186">
        <v>7262</v>
      </c>
      <c r="D158" s="286" t="s">
        <v>46</v>
      </c>
      <c r="E158" s="287"/>
      <c r="F158" s="186" t="s">
        <v>52</v>
      </c>
      <c r="G158" s="188">
        <f>(390.74*2*0.1)+3.3</f>
        <v>81.44800000000001</v>
      </c>
      <c r="H158" s="189">
        <v>20.32</v>
      </c>
      <c r="I158" s="189">
        <f>ROUND((H158*(1+$J$4)),2)</f>
        <v>27.01</v>
      </c>
      <c r="J158" s="190">
        <f>G158*I158</f>
        <v>2199.9104800000005</v>
      </c>
    </row>
    <row r="159" spans="1:10" ht="30.75" customHeight="1" hidden="1">
      <c r="A159" s="217" t="s">
        <v>110</v>
      </c>
      <c r="B159" s="186" t="s">
        <v>120</v>
      </c>
      <c r="C159" s="186">
        <v>7262</v>
      </c>
      <c r="D159" s="286" t="s">
        <v>145</v>
      </c>
      <c r="E159" s="287"/>
      <c r="F159" s="186" t="s">
        <v>52</v>
      </c>
      <c r="G159" s="188">
        <f>(3*0.3*18*4)</f>
        <v>64.8</v>
      </c>
      <c r="H159" s="189">
        <v>20.32</v>
      </c>
      <c r="I159" s="189">
        <f>ROUND((H159*(1+$J$4)),2)</f>
        <v>27.01</v>
      </c>
      <c r="J159" s="190">
        <f>G159*I159</f>
        <v>1750.248</v>
      </c>
    </row>
    <row r="160" spans="1:10" ht="30.75" customHeight="1" hidden="1">
      <c r="A160" s="217" t="s">
        <v>111</v>
      </c>
      <c r="B160" s="186" t="s">
        <v>120</v>
      </c>
      <c r="C160" s="186">
        <v>7262</v>
      </c>
      <c r="D160" s="292" t="s">
        <v>242</v>
      </c>
      <c r="E160" s="292"/>
      <c r="F160" s="186" t="s">
        <v>52</v>
      </c>
      <c r="G160" s="188">
        <v>1.05</v>
      </c>
      <c r="H160" s="189">
        <v>20.32</v>
      </c>
      <c r="I160" s="189">
        <f>ROUND((H160*(1+$J$4)),2)</f>
        <v>27.01</v>
      </c>
      <c r="J160" s="190">
        <f>G160*I160</f>
        <v>28.360500000000002</v>
      </c>
    </row>
    <row r="161" spans="1:10" ht="15" customHeight="1" hidden="1">
      <c r="A161" s="217" t="s">
        <v>263</v>
      </c>
      <c r="B161" s="226" t="s">
        <v>120</v>
      </c>
      <c r="C161" s="226" t="s">
        <v>48</v>
      </c>
      <c r="D161" s="294" t="s">
        <v>47</v>
      </c>
      <c r="E161" s="295"/>
      <c r="F161" s="226" t="s">
        <v>55</v>
      </c>
      <c r="G161" s="229">
        <v>1</v>
      </c>
      <c r="H161" s="225">
        <v>37.12</v>
      </c>
      <c r="I161" s="265">
        <f>ROUND((H161*(1+$J$4)),2)</f>
        <v>49.33</v>
      </c>
      <c r="J161" s="271">
        <f>G161*I161</f>
        <v>49.33</v>
      </c>
    </row>
    <row r="162" spans="1:10" ht="15" customHeight="1" hidden="1">
      <c r="A162" s="204">
        <v>6</v>
      </c>
      <c r="B162" s="205"/>
      <c r="C162" s="206"/>
      <c r="D162" s="311" t="s">
        <v>114</v>
      </c>
      <c r="E162" s="311"/>
      <c r="F162" s="206" t="s">
        <v>54</v>
      </c>
      <c r="G162" s="230"/>
      <c r="H162" s="227"/>
      <c r="I162" s="227"/>
      <c r="J162" s="228"/>
    </row>
    <row r="163" spans="1:10" ht="26.25" customHeight="1" hidden="1">
      <c r="A163" s="234" t="s">
        <v>128</v>
      </c>
      <c r="B163" s="186" t="s">
        <v>119</v>
      </c>
      <c r="C163" s="186">
        <v>92855</v>
      </c>
      <c r="D163" s="292" t="s">
        <v>296</v>
      </c>
      <c r="E163" s="292"/>
      <c r="F163" s="186" t="s">
        <v>154</v>
      </c>
      <c r="G163" s="188">
        <v>0</v>
      </c>
      <c r="H163" s="189">
        <v>300.9</v>
      </c>
      <c r="I163" s="189">
        <f>ROUND((H163*(1+$J$4)),2)</f>
        <v>399.9</v>
      </c>
      <c r="J163" s="190">
        <f aca="true" t="shared" si="10" ref="J163:J168">G163*I163</f>
        <v>0</v>
      </c>
    </row>
    <row r="164" spans="1:10" ht="15" customHeight="1" hidden="1">
      <c r="A164" s="234" t="s">
        <v>226</v>
      </c>
      <c r="B164" s="186" t="s">
        <v>120</v>
      </c>
      <c r="C164" s="186">
        <v>1130</v>
      </c>
      <c r="D164" s="292" t="s">
        <v>224</v>
      </c>
      <c r="E164" s="292"/>
      <c r="F164" s="186" t="s">
        <v>154</v>
      </c>
      <c r="G164" s="188">
        <v>0</v>
      </c>
      <c r="H164" s="189">
        <v>152.7</v>
      </c>
      <c r="I164" s="189">
        <f>ROUND((H164*(1+$J$4)),2)</f>
        <v>202.94</v>
      </c>
      <c r="J164" s="190">
        <f t="shared" si="10"/>
        <v>0</v>
      </c>
    </row>
    <row r="165" spans="1:10" ht="15" customHeight="1" hidden="1">
      <c r="A165" s="234" t="s">
        <v>231</v>
      </c>
      <c r="B165" s="186" t="s">
        <v>120</v>
      </c>
      <c r="C165" s="186">
        <v>1140</v>
      </c>
      <c r="D165" s="292" t="s">
        <v>294</v>
      </c>
      <c r="E165" s="292"/>
      <c r="F165" s="186" t="s">
        <v>154</v>
      </c>
      <c r="G165" s="188">
        <v>0</v>
      </c>
      <c r="H165" s="189">
        <v>195.31</v>
      </c>
      <c r="I165" s="189">
        <f>ROUND((H165*(1+$J$4)),2)</f>
        <v>259.57</v>
      </c>
      <c r="J165" s="190">
        <f t="shared" si="10"/>
        <v>0</v>
      </c>
    </row>
    <row r="166" spans="1:10" ht="13.5" hidden="1" thickBot="1">
      <c r="A166" s="234" t="s">
        <v>277</v>
      </c>
      <c r="B166" s="186" t="s">
        <v>120</v>
      </c>
      <c r="C166" s="186">
        <v>1030</v>
      </c>
      <c r="D166" s="286" t="s">
        <v>295</v>
      </c>
      <c r="E166" s="287"/>
      <c r="F166" s="186" t="s">
        <v>124</v>
      </c>
      <c r="G166" s="188">
        <f>(((G163+G164)*1.3*1.8)+(G165*1.8*2))*1.05</f>
        <v>0</v>
      </c>
      <c r="H166" s="189">
        <v>17.45</v>
      </c>
      <c r="I166" s="189">
        <f>ROUND((H166*(1+$J$4)),2)</f>
        <v>23.19</v>
      </c>
      <c r="J166" s="190">
        <f t="shared" si="10"/>
        <v>0</v>
      </c>
    </row>
    <row r="167" spans="1:10" ht="13.5" hidden="1" thickBot="1">
      <c r="A167" s="234" t="s">
        <v>278</v>
      </c>
      <c r="B167" s="186" t="s">
        <v>119</v>
      </c>
      <c r="C167" s="186">
        <v>95875</v>
      </c>
      <c r="D167" s="286" t="s">
        <v>286</v>
      </c>
      <c r="E167" s="287"/>
      <c r="F167" s="186" t="s">
        <v>269</v>
      </c>
      <c r="G167" s="188">
        <f>G166*10</f>
        <v>0</v>
      </c>
      <c r="H167" s="189">
        <v>1.15</v>
      </c>
      <c r="I167" s="189">
        <f>ROUND((H167*(1+$J$5)),2)</f>
        <v>1.39</v>
      </c>
      <c r="J167" s="190">
        <f t="shared" si="10"/>
        <v>0</v>
      </c>
    </row>
    <row r="168" spans="1:10" ht="13.5" hidden="1" thickBot="1">
      <c r="A168" s="234" t="s">
        <v>284</v>
      </c>
      <c r="B168" s="186" t="s">
        <v>120</v>
      </c>
      <c r="C168" s="186">
        <v>6464</v>
      </c>
      <c r="D168" s="290" t="s">
        <v>282</v>
      </c>
      <c r="E168" s="291"/>
      <c r="F168" s="186" t="s">
        <v>124</v>
      </c>
      <c r="G168" s="188">
        <f>(((G163+G164)*1.3*0.1)+(G165*1.8*0.1))*1.05</f>
        <v>0</v>
      </c>
      <c r="H168" s="189">
        <v>87.97</v>
      </c>
      <c r="I168" s="189">
        <f>ROUND((H168*(1+$J$4)),2)</f>
        <v>116.91</v>
      </c>
      <c r="J168" s="190">
        <f t="shared" si="10"/>
        <v>0</v>
      </c>
    </row>
    <row r="169" spans="1:10" ht="13.5" hidden="1" thickBot="1">
      <c r="A169" s="234" t="s">
        <v>285</v>
      </c>
      <c r="B169" s="186" t="s">
        <v>119</v>
      </c>
      <c r="C169" s="186">
        <v>94968</v>
      </c>
      <c r="D169" s="290" t="s">
        <v>297</v>
      </c>
      <c r="E169" s="291"/>
      <c r="F169" s="186" t="s">
        <v>124</v>
      </c>
      <c r="G169" s="188">
        <f>(((G163+G164)*0.8*0.1)+(G165*1*0.1))*1.05</f>
        <v>0</v>
      </c>
      <c r="H169" s="189">
        <v>270.4</v>
      </c>
      <c r="I169" s="189">
        <f>ROUND((H169*(1+$J$4)),2)</f>
        <v>359.36</v>
      </c>
      <c r="J169" s="190">
        <f>G169*I169</f>
        <v>0</v>
      </c>
    </row>
    <row r="170" spans="1:10" ht="15" customHeight="1" hidden="1">
      <c r="A170" s="234" t="s">
        <v>298</v>
      </c>
      <c r="B170" s="186" t="s">
        <v>120</v>
      </c>
      <c r="C170" s="186">
        <v>1079</v>
      </c>
      <c r="D170" s="286" t="s">
        <v>283</v>
      </c>
      <c r="E170" s="287"/>
      <c r="F170" s="186" t="s">
        <v>124</v>
      </c>
      <c r="G170" s="188">
        <f>(((G163+G164)*1.3*1)+(G165*1.8*1))*1.05</f>
        <v>0</v>
      </c>
      <c r="H170" s="189">
        <v>65.57</v>
      </c>
      <c r="I170" s="189">
        <f>ROUND((H170*(1+$J$4)),2)</f>
        <v>87.14</v>
      </c>
      <c r="J170" s="190">
        <f>G170*I170</f>
        <v>0</v>
      </c>
    </row>
    <row r="171" spans="1:10" ht="13.5" hidden="1" thickBot="1">
      <c r="A171" s="234" t="s">
        <v>299</v>
      </c>
      <c r="B171" s="186" t="s">
        <v>120</v>
      </c>
      <c r="C171" s="236">
        <v>548</v>
      </c>
      <c r="D171" s="292" t="s">
        <v>276</v>
      </c>
      <c r="E171" s="292"/>
      <c r="F171" s="186" t="s">
        <v>52</v>
      </c>
      <c r="G171" s="188">
        <f>((G163+G164)*1.7)+(G165*2)</f>
        <v>0</v>
      </c>
      <c r="H171" s="189">
        <v>4.8</v>
      </c>
      <c r="I171" s="189">
        <f>ROUND((H171*(1+$J$4)),2)</f>
        <v>6.38</v>
      </c>
      <c r="J171" s="190">
        <f>G171*I171</f>
        <v>0</v>
      </c>
    </row>
    <row r="172" spans="1:10" ht="39" customHeight="1" hidden="1">
      <c r="A172" s="234" t="s">
        <v>300</v>
      </c>
      <c r="B172" s="186" t="s">
        <v>119</v>
      </c>
      <c r="C172" s="186" t="s">
        <v>230</v>
      </c>
      <c r="D172" s="292" t="s">
        <v>232</v>
      </c>
      <c r="E172" s="292"/>
      <c r="F172" s="186" t="s">
        <v>52</v>
      </c>
      <c r="G172" s="188">
        <v>0</v>
      </c>
      <c r="H172" s="189">
        <v>42.73</v>
      </c>
      <c r="I172" s="189">
        <f>ROUND((H172*(1+$J$5)),2)</f>
        <v>51.59</v>
      </c>
      <c r="J172" s="190">
        <f>G172*I172</f>
        <v>0</v>
      </c>
    </row>
    <row r="173" spans="1:10" ht="44.25" customHeight="1" hidden="1" thickBot="1">
      <c r="A173" s="234" t="s">
        <v>301</v>
      </c>
      <c r="B173" s="237" t="s">
        <v>119</v>
      </c>
      <c r="C173" s="238">
        <v>72799</v>
      </c>
      <c r="D173" s="293" t="s">
        <v>281</v>
      </c>
      <c r="E173" s="293"/>
      <c r="F173" s="237" t="s">
        <v>52</v>
      </c>
      <c r="G173" s="239">
        <f>G172*10%</f>
        <v>0</v>
      </c>
      <c r="H173" s="240">
        <v>69.33</v>
      </c>
      <c r="I173" s="240">
        <f>ROUND((H173*(1+$J$5)),2)</f>
        <v>83.7</v>
      </c>
      <c r="J173" s="241">
        <f>G173*I173</f>
        <v>0</v>
      </c>
    </row>
    <row r="174" spans="1:10" ht="13.5" hidden="1" thickBot="1">
      <c r="A174" s="191"/>
      <c r="B174" s="192"/>
      <c r="C174" s="193"/>
      <c r="D174" s="306" t="s">
        <v>113</v>
      </c>
      <c r="E174" s="306"/>
      <c r="F174" s="194"/>
      <c r="G174" s="194"/>
      <c r="H174" s="195"/>
      <c r="I174" s="196"/>
      <c r="J174" s="197">
        <f>SUM(J138:J173)</f>
        <v>353208.90412479837</v>
      </c>
    </row>
    <row r="175" spans="1:10" ht="4.5" customHeight="1" thickBot="1">
      <c r="A175" s="198"/>
      <c r="B175" s="198"/>
      <c r="C175" s="199"/>
      <c r="D175" s="200"/>
      <c r="E175" s="200"/>
      <c r="F175" s="201"/>
      <c r="G175" s="201"/>
      <c r="H175" s="202"/>
      <c r="I175" s="203"/>
      <c r="J175" s="203"/>
    </row>
    <row r="176" spans="1:10" ht="15.75" customHeight="1" thickBot="1">
      <c r="A176" s="301" t="s">
        <v>340</v>
      </c>
      <c r="B176" s="302"/>
      <c r="C176" s="302"/>
      <c r="D176" s="302"/>
      <c r="E176" s="302"/>
      <c r="F176" s="302"/>
      <c r="G176" s="173"/>
      <c r="H176" s="174"/>
      <c r="I176" s="173"/>
      <c r="J176" s="175"/>
    </row>
    <row r="177" spans="1:10" ht="15" customHeight="1">
      <c r="A177" s="204">
        <v>1</v>
      </c>
      <c r="B177" s="205"/>
      <c r="C177" s="206"/>
      <c r="D177" s="311" t="s">
        <v>356</v>
      </c>
      <c r="E177" s="311"/>
      <c r="F177" s="206" t="s">
        <v>54</v>
      </c>
      <c r="G177" s="209"/>
      <c r="H177" s="227"/>
      <c r="I177" s="227"/>
      <c r="J177" s="228"/>
    </row>
    <row r="178" spans="1:10" ht="12.75" customHeight="1">
      <c r="A178" s="234" t="s">
        <v>36</v>
      </c>
      <c r="B178" s="186" t="s">
        <v>119</v>
      </c>
      <c r="C178" s="84" t="s">
        <v>118</v>
      </c>
      <c r="D178" s="286" t="s">
        <v>102</v>
      </c>
      <c r="E178" s="287"/>
      <c r="F178" s="186" t="s">
        <v>380</v>
      </c>
      <c r="G178" s="188">
        <v>2.5</v>
      </c>
      <c r="H178" s="189">
        <v>318.11</v>
      </c>
      <c r="I178" s="189">
        <f>ROUND((H178*(1+$J$5)),2)</f>
        <v>384.05</v>
      </c>
      <c r="J178" s="190">
        <f>G178*I178</f>
        <v>960.125</v>
      </c>
    </row>
    <row r="179" spans="1:10" ht="12.75" customHeight="1">
      <c r="A179" s="234" t="s">
        <v>37</v>
      </c>
      <c r="B179" s="186" t="s">
        <v>119</v>
      </c>
      <c r="C179" s="186">
        <v>99063</v>
      </c>
      <c r="D179" s="286" t="s">
        <v>424</v>
      </c>
      <c r="E179" s="287"/>
      <c r="F179" s="186" t="s">
        <v>391</v>
      </c>
      <c r="G179" s="188">
        <v>232</v>
      </c>
      <c r="H179" s="189">
        <v>1.15</v>
      </c>
      <c r="I179" s="189">
        <f>ROUND((H179*(1+$J$5)),2)</f>
        <v>1.39</v>
      </c>
      <c r="J179" s="190">
        <f>G179*I179</f>
        <v>322.47999999999996</v>
      </c>
    </row>
    <row r="180" spans="1:10" ht="38.25" customHeight="1">
      <c r="A180" s="234" t="s">
        <v>40</v>
      </c>
      <c r="B180" s="186" t="s">
        <v>119</v>
      </c>
      <c r="C180" s="186">
        <v>90085</v>
      </c>
      <c r="D180" s="286" t="s">
        <v>342</v>
      </c>
      <c r="E180" s="287"/>
      <c r="F180" s="186" t="s">
        <v>387</v>
      </c>
      <c r="G180" s="188">
        <v>2507.65</v>
      </c>
      <c r="H180" s="189">
        <v>7.94</v>
      </c>
      <c r="I180" s="189">
        <f>ROUND((H180*(1+$J$5)),2)</f>
        <v>9.59</v>
      </c>
      <c r="J180" s="190">
        <f>G180*I180</f>
        <v>24048.3635</v>
      </c>
    </row>
    <row r="181" spans="1:10" ht="12.75" customHeight="1">
      <c r="A181" s="234" t="s">
        <v>238</v>
      </c>
      <c r="B181" s="186" t="s">
        <v>120</v>
      </c>
      <c r="C181" s="186">
        <v>1050</v>
      </c>
      <c r="D181" s="286" t="s">
        <v>343</v>
      </c>
      <c r="E181" s="287"/>
      <c r="F181" s="186" t="s">
        <v>387</v>
      </c>
      <c r="G181" s="188">
        <v>716.76</v>
      </c>
      <c r="H181" s="189">
        <v>168.74</v>
      </c>
      <c r="I181" s="189">
        <f>ROUND((H181*(1+$J$4)),2)</f>
        <v>224.26</v>
      </c>
      <c r="J181" s="190">
        <f aca="true" t="shared" si="11" ref="J181:J189">G181*I181</f>
        <v>160740.59759999998</v>
      </c>
    </row>
    <row r="182" spans="1:10" ht="12.75" customHeight="1">
      <c r="A182" s="234" t="s">
        <v>412</v>
      </c>
      <c r="B182" s="186" t="s">
        <v>119</v>
      </c>
      <c r="C182" s="186" t="s">
        <v>344</v>
      </c>
      <c r="D182" s="286" t="s">
        <v>345</v>
      </c>
      <c r="E182" s="287"/>
      <c r="F182" s="186" t="s">
        <v>387</v>
      </c>
      <c r="G182" s="188">
        <v>113.51</v>
      </c>
      <c r="H182" s="189">
        <v>107.23</v>
      </c>
      <c r="I182" s="189">
        <f>ROUND((H182*(1+$J$5)),2)</f>
        <v>129.46</v>
      </c>
      <c r="J182" s="190">
        <f t="shared" si="11"/>
        <v>14695.004600000002</v>
      </c>
    </row>
    <row r="183" spans="1:10" ht="25.5" customHeight="1">
      <c r="A183" s="234" t="s">
        <v>413</v>
      </c>
      <c r="B183" s="186" t="s">
        <v>119</v>
      </c>
      <c r="C183" s="186">
        <v>97086</v>
      </c>
      <c r="D183" s="286" t="s">
        <v>139</v>
      </c>
      <c r="E183" s="287"/>
      <c r="F183" s="186" t="s">
        <v>380</v>
      </c>
      <c r="G183" s="188">
        <v>139.2</v>
      </c>
      <c r="H183" s="189">
        <v>90.19</v>
      </c>
      <c r="I183" s="189">
        <f>ROUND((H183*(1+$J$5)),2)</f>
        <v>108.89</v>
      </c>
      <c r="J183" s="190">
        <f t="shared" si="11"/>
        <v>15157.488</v>
      </c>
    </row>
    <row r="184" spans="1:10" ht="25.5" customHeight="1">
      <c r="A184" s="234" t="s">
        <v>414</v>
      </c>
      <c r="B184" s="186" t="s">
        <v>140</v>
      </c>
      <c r="C184" s="186">
        <v>1523</v>
      </c>
      <c r="D184" s="286" t="s">
        <v>346</v>
      </c>
      <c r="E184" s="287"/>
      <c r="F184" s="186" t="s">
        <v>387</v>
      </c>
      <c r="G184" s="188">
        <v>113.51</v>
      </c>
      <c r="H184" s="189">
        <v>285.05</v>
      </c>
      <c r="I184" s="189">
        <f>ROUND((H184*(1+$J$6)),2)</f>
        <v>327.81</v>
      </c>
      <c r="J184" s="190">
        <f t="shared" si="11"/>
        <v>37209.7131</v>
      </c>
    </row>
    <row r="185" spans="1:10" ht="38.25" customHeight="1">
      <c r="A185" s="234" t="s">
        <v>415</v>
      </c>
      <c r="B185" s="186" t="s">
        <v>119</v>
      </c>
      <c r="C185" s="186">
        <v>92831</v>
      </c>
      <c r="D185" s="292" t="s">
        <v>431</v>
      </c>
      <c r="E185" s="292"/>
      <c r="F185" s="186" t="s">
        <v>391</v>
      </c>
      <c r="G185" s="188">
        <v>232</v>
      </c>
      <c r="H185" s="189">
        <v>782.98</v>
      </c>
      <c r="I185" s="189">
        <f>ROUND((H185*(1+$J$5)),2)</f>
        <v>945.29</v>
      </c>
      <c r="J185" s="190">
        <f t="shared" si="11"/>
        <v>219307.28</v>
      </c>
    </row>
    <row r="186" spans="1:10" ht="12.75" customHeight="1">
      <c r="A186" s="234" t="s">
        <v>416</v>
      </c>
      <c r="B186" s="186" t="s">
        <v>120</v>
      </c>
      <c r="C186" s="186" t="s">
        <v>275</v>
      </c>
      <c r="D186" s="288" t="s">
        <v>347</v>
      </c>
      <c r="E186" s="289"/>
      <c r="F186" s="255" t="s">
        <v>99</v>
      </c>
      <c r="G186" s="256">
        <f>ROUNDUP((3271.2/22),0)</f>
        <v>149</v>
      </c>
      <c r="H186" s="189">
        <v>261.67</v>
      </c>
      <c r="I186" s="189">
        <f>ROUND((H186*(1+$J$4)),2)</f>
        <v>347.76</v>
      </c>
      <c r="J186" s="190">
        <f t="shared" si="11"/>
        <v>51816.24</v>
      </c>
    </row>
    <row r="187" spans="1:10" ht="38.25" customHeight="1">
      <c r="A187" s="234" t="s">
        <v>417</v>
      </c>
      <c r="B187" s="255" t="s">
        <v>119</v>
      </c>
      <c r="C187" s="255">
        <v>5928</v>
      </c>
      <c r="D187" s="288" t="s">
        <v>355</v>
      </c>
      <c r="E187" s="289"/>
      <c r="F187" s="255" t="s">
        <v>198</v>
      </c>
      <c r="G187" s="256">
        <v>240</v>
      </c>
      <c r="H187" s="267">
        <v>143.56</v>
      </c>
      <c r="I187" s="267">
        <f aca="true" t="shared" si="12" ref="I187:I195">ROUND((H187*(1+$J$5)),2)</f>
        <v>173.32</v>
      </c>
      <c r="J187" s="272">
        <f>G187*I187</f>
        <v>41596.799999999996</v>
      </c>
    </row>
    <row r="188" spans="1:10" ht="38.25" customHeight="1">
      <c r="A188" s="234" t="s">
        <v>418</v>
      </c>
      <c r="B188" s="255" t="s">
        <v>119</v>
      </c>
      <c r="C188" s="255">
        <v>5930</v>
      </c>
      <c r="D188" s="288" t="s">
        <v>355</v>
      </c>
      <c r="E188" s="289"/>
      <c r="F188" s="255" t="s">
        <v>200</v>
      </c>
      <c r="G188" s="256">
        <v>360</v>
      </c>
      <c r="H188" s="267">
        <v>37.66</v>
      </c>
      <c r="I188" s="267">
        <f t="shared" si="12"/>
        <v>45.47</v>
      </c>
      <c r="J188" s="272">
        <f>G188*I188</f>
        <v>16369.199999999999</v>
      </c>
    </row>
    <row r="189" spans="1:10" ht="38.25" customHeight="1">
      <c r="A189" s="234" t="s">
        <v>419</v>
      </c>
      <c r="B189" s="186" t="s">
        <v>119</v>
      </c>
      <c r="C189" s="186">
        <v>93362</v>
      </c>
      <c r="D189" s="286" t="s">
        <v>348</v>
      </c>
      <c r="E189" s="287"/>
      <c r="F189" s="186" t="s">
        <v>387</v>
      </c>
      <c r="G189" s="188">
        <v>1373.14</v>
      </c>
      <c r="H189" s="189">
        <v>9.46</v>
      </c>
      <c r="I189" s="189">
        <f t="shared" si="12"/>
        <v>11.42</v>
      </c>
      <c r="J189" s="190">
        <f t="shared" si="11"/>
        <v>15681.258800000001</v>
      </c>
    </row>
    <row r="190" spans="1:10" ht="25.5" customHeight="1">
      <c r="A190" s="234" t="s">
        <v>420</v>
      </c>
      <c r="B190" s="186" t="s">
        <v>119</v>
      </c>
      <c r="C190" s="186">
        <v>93590</v>
      </c>
      <c r="D190" s="288" t="s">
        <v>349</v>
      </c>
      <c r="E190" s="289"/>
      <c r="F190" s="255" t="s">
        <v>427</v>
      </c>
      <c r="G190" s="256">
        <v>41201.58</v>
      </c>
      <c r="H190" s="189">
        <v>0.82</v>
      </c>
      <c r="I190" s="189">
        <f t="shared" si="12"/>
        <v>0.99</v>
      </c>
      <c r="J190" s="190">
        <f aca="true" t="shared" si="13" ref="J190:J195">G190*I190</f>
        <v>40789.5642</v>
      </c>
    </row>
    <row r="191" spans="1:10" ht="25.5" customHeight="1">
      <c r="A191" s="234" t="s">
        <v>421</v>
      </c>
      <c r="B191" s="186" t="s">
        <v>119</v>
      </c>
      <c r="C191" s="186">
        <v>99301</v>
      </c>
      <c r="D191" s="290" t="s">
        <v>350</v>
      </c>
      <c r="E191" s="291"/>
      <c r="F191" s="186" t="s">
        <v>423</v>
      </c>
      <c r="G191" s="188">
        <v>6</v>
      </c>
      <c r="H191" s="189">
        <v>4679.07</v>
      </c>
      <c r="I191" s="189">
        <f t="shared" si="12"/>
        <v>5649.04</v>
      </c>
      <c r="J191" s="190">
        <f t="shared" si="13"/>
        <v>33894.24</v>
      </c>
    </row>
    <row r="192" spans="1:10" ht="25.5" customHeight="1">
      <c r="A192" s="234" t="s">
        <v>422</v>
      </c>
      <c r="B192" s="186" t="s">
        <v>119</v>
      </c>
      <c r="C192" s="186">
        <v>99307</v>
      </c>
      <c r="D192" s="292" t="s">
        <v>351</v>
      </c>
      <c r="E192" s="292"/>
      <c r="F192" s="186" t="s">
        <v>391</v>
      </c>
      <c r="G192" s="188">
        <v>14.65</v>
      </c>
      <c r="H192" s="189">
        <v>1910.87</v>
      </c>
      <c r="I192" s="189">
        <f t="shared" si="12"/>
        <v>2306.99</v>
      </c>
      <c r="J192" s="190">
        <f t="shared" si="13"/>
        <v>33797.4035</v>
      </c>
    </row>
    <row r="193" spans="1:10" ht="25.5" customHeight="1">
      <c r="A193" s="234" t="s">
        <v>425</v>
      </c>
      <c r="B193" s="186" t="s">
        <v>119</v>
      </c>
      <c r="C193" s="186">
        <v>98114</v>
      </c>
      <c r="D193" s="286" t="s">
        <v>352</v>
      </c>
      <c r="E193" s="287"/>
      <c r="F193" s="186" t="s">
        <v>423</v>
      </c>
      <c r="G193" s="188">
        <v>6</v>
      </c>
      <c r="H193" s="189">
        <v>381.87</v>
      </c>
      <c r="I193" s="189">
        <f t="shared" si="12"/>
        <v>461.03</v>
      </c>
      <c r="J193" s="190">
        <f t="shared" si="13"/>
        <v>2766.18</v>
      </c>
    </row>
    <row r="194" spans="1:10" ht="25.5" customHeight="1">
      <c r="A194" s="234" t="s">
        <v>426</v>
      </c>
      <c r="B194" s="186" t="s">
        <v>119</v>
      </c>
      <c r="C194" s="186">
        <v>83659</v>
      </c>
      <c r="D194" s="286" t="s">
        <v>430</v>
      </c>
      <c r="E194" s="287"/>
      <c r="F194" s="186" t="s">
        <v>423</v>
      </c>
      <c r="G194" s="188">
        <v>13</v>
      </c>
      <c r="H194" s="189">
        <v>713.43</v>
      </c>
      <c r="I194" s="189">
        <f t="shared" si="12"/>
        <v>861.32</v>
      </c>
      <c r="J194" s="190">
        <f t="shared" si="13"/>
        <v>11197.16</v>
      </c>
    </row>
    <row r="195" spans="1:10" ht="12.75" customHeight="1" thickBot="1">
      <c r="A195" s="234" t="s">
        <v>429</v>
      </c>
      <c r="B195" s="186" t="s">
        <v>119</v>
      </c>
      <c r="C195" s="186">
        <v>90279</v>
      </c>
      <c r="D195" s="292" t="s">
        <v>428</v>
      </c>
      <c r="E195" s="292"/>
      <c r="F195" s="186" t="s">
        <v>387</v>
      </c>
      <c r="G195" s="188">
        <v>3</v>
      </c>
      <c r="H195" s="189">
        <v>325.11</v>
      </c>
      <c r="I195" s="189">
        <f t="shared" si="12"/>
        <v>392.51</v>
      </c>
      <c r="J195" s="190">
        <f t="shared" si="13"/>
        <v>1177.53</v>
      </c>
    </row>
    <row r="196" spans="1:10" ht="26.25" customHeight="1" thickBot="1">
      <c r="A196" s="191"/>
      <c r="B196" s="192"/>
      <c r="C196" s="193"/>
      <c r="D196" s="306" t="s">
        <v>113</v>
      </c>
      <c r="E196" s="306"/>
      <c r="F196" s="194"/>
      <c r="G196" s="194"/>
      <c r="H196" s="195"/>
      <c r="I196" s="196"/>
      <c r="J196" s="197">
        <f>SUM(J178:J195)</f>
        <v>721526.6283000001</v>
      </c>
    </row>
    <row r="197" spans="1:10" ht="26.25" customHeight="1">
      <c r="A197" s="157" t="s">
        <v>144</v>
      </c>
      <c r="B197" s="157"/>
      <c r="C197" s="273"/>
      <c r="D197" s="274"/>
      <c r="E197" s="274"/>
      <c r="F197" s="273"/>
      <c r="G197" s="273"/>
      <c r="H197" s="275" t="s">
        <v>31</v>
      </c>
      <c r="I197" s="305">
        <f ca="1">+TODAY()</f>
        <v>44173</v>
      </c>
      <c r="J197" s="305"/>
    </row>
    <row r="198" spans="1:10" ht="12.75">
      <c r="A198" s="276"/>
      <c r="B198" s="277"/>
      <c r="C198" s="275" t="s">
        <v>29</v>
      </c>
      <c r="D198" s="277"/>
      <c r="E198" s="276"/>
      <c r="F198" s="275"/>
      <c r="G198" s="275"/>
      <c r="H198" s="157"/>
      <c r="I198" s="157"/>
      <c r="J198" s="157"/>
    </row>
    <row r="199" spans="1:10" ht="12.75">
      <c r="A199" s="275"/>
      <c r="B199" s="275"/>
      <c r="C199" s="275"/>
      <c r="D199" s="275"/>
      <c r="E199" s="276"/>
      <c r="F199" s="275"/>
      <c r="G199" s="277"/>
      <c r="H199" s="157"/>
      <c r="I199" s="277"/>
      <c r="J199" s="157"/>
    </row>
    <row r="200" spans="1:10" ht="12.75">
      <c r="A200" s="157"/>
      <c r="B200" s="278"/>
      <c r="C200" s="279"/>
      <c r="D200" s="157"/>
      <c r="E200" s="276"/>
      <c r="F200" s="157"/>
      <c r="G200" s="157"/>
      <c r="H200" s="280"/>
      <c r="I200" s="157"/>
      <c r="J200" s="157"/>
    </row>
    <row r="201" spans="1:10" ht="12.75">
      <c r="A201" s="157"/>
      <c r="B201" s="281"/>
      <c r="C201" s="279"/>
      <c r="D201" s="273" t="s">
        <v>409</v>
      </c>
      <c r="E201" s="276"/>
      <c r="F201" s="282"/>
      <c r="G201" s="281"/>
      <c r="H201" s="280"/>
      <c r="I201" s="281"/>
      <c r="J201" s="283"/>
    </row>
    <row r="202" spans="1:10" ht="12.75">
      <c r="A202" s="157"/>
      <c r="B202" s="157"/>
      <c r="C202" s="279"/>
      <c r="D202" s="273" t="s">
        <v>410</v>
      </c>
      <c r="E202" s="276"/>
      <c r="F202" s="275"/>
      <c r="G202" s="273"/>
      <c r="H202" s="273"/>
      <c r="I202" s="157"/>
      <c r="J202" s="157"/>
    </row>
    <row r="203" spans="1:10" ht="12.75">
      <c r="A203" s="157"/>
      <c r="B203" s="157"/>
      <c r="C203" s="279"/>
      <c r="D203" s="273" t="s">
        <v>411</v>
      </c>
      <c r="E203" s="157"/>
      <c r="F203" s="279"/>
      <c r="G203" s="273"/>
      <c r="H203" s="273"/>
      <c r="I203" s="157"/>
      <c r="J203" s="157"/>
    </row>
  </sheetData>
  <sheetProtection/>
  <mergeCells count="189">
    <mergeCell ref="D162:E162"/>
    <mergeCell ref="D124:E124"/>
    <mergeCell ref="D125:E125"/>
    <mergeCell ref="D126:E126"/>
    <mergeCell ref="D127:E127"/>
    <mergeCell ref="D128:E128"/>
    <mergeCell ref="D135:E135"/>
    <mergeCell ref="D87:E87"/>
    <mergeCell ref="D100:E100"/>
    <mergeCell ref="D140:E140"/>
    <mergeCell ref="D86:E86"/>
    <mergeCell ref="D113:E113"/>
    <mergeCell ref="D112:E112"/>
    <mergeCell ref="D196:E196"/>
    <mergeCell ref="D185:E185"/>
    <mergeCell ref="D193:E193"/>
    <mergeCell ref="D190:E190"/>
    <mergeCell ref="D191:E191"/>
    <mergeCell ref="D195:E195"/>
    <mergeCell ref="D188:E188"/>
    <mergeCell ref="D187:E187"/>
    <mergeCell ref="D194:E194"/>
    <mergeCell ref="D192:E192"/>
    <mergeCell ref="D181:E181"/>
    <mergeCell ref="D182:E182"/>
    <mergeCell ref="D115:E115"/>
    <mergeCell ref="D143:E143"/>
    <mergeCell ref="D189:E189"/>
    <mergeCell ref="A137:F137"/>
    <mergeCell ref="D177:E177"/>
    <mergeCell ref="D178:E178"/>
    <mergeCell ref="D180:E180"/>
    <mergeCell ref="G1:J1"/>
    <mergeCell ref="H2:I2"/>
    <mergeCell ref="H3:I3"/>
    <mergeCell ref="D139:E139"/>
    <mergeCell ref="D80:E80"/>
    <mergeCell ref="D116:E116"/>
    <mergeCell ref="D118:E118"/>
    <mergeCell ref="D91:E91"/>
    <mergeCell ref="D58:E58"/>
    <mergeCell ref="A1:F1"/>
    <mergeCell ref="D48:E48"/>
    <mergeCell ref="D47:E47"/>
    <mergeCell ref="D49:E49"/>
    <mergeCell ref="D42:E42"/>
    <mergeCell ref="D38:E38"/>
    <mergeCell ref="D37:E37"/>
    <mergeCell ref="D40:E40"/>
    <mergeCell ref="D41:E41"/>
    <mergeCell ref="H4:I4"/>
    <mergeCell ref="D23:E23"/>
    <mergeCell ref="D26:E26"/>
    <mergeCell ref="D27:E27"/>
    <mergeCell ref="H5:I5"/>
    <mergeCell ref="D46:E46"/>
    <mergeCell ref="D54:E54"/>
    <mergeCell ref="A10:F10"/>
    <mergeCell ref="D53:E53"/>
    <mergeCell ref="H6:I6"/>
    <mergeCell ref="A7:J7"/>
    <mergeCell ref="D36:E36"/>
    <mergeCell ref="A18:F18"/>
    <mergeCell ref="D25:E25"/>
    <mergeCell ref="C8:C9"/>
    <mergeCell ref="D16:E16"/>
    <mergeCell ref="D65:E65"/>
    <mergeCell ref="D67:E67"/>
    <mergeCell ref="D68:E68"/>
    <mergeCell ref="D95:E95"/>
    <mergeCell ref="D50:E50"/>
    <mergeCell ref="D55:E55"/>
    <mergeCell ref="D39:E39"/>
    <mergeCell ref="D29:E29"/>
    <mergeCell ref="D51:E51"/>
    <mergeCell ref="D76:E76"/>
    <mergeCell ref="D77:E77"/>
    <mergeCell ref="D78:E78"/>
    <mergeCell ref="A62:F62"/>
    <mergeCell ref="D70:E70"/>
    <mergeCell ref="D71:E71"/>
    <mergeCell ref="D57:E57"/>
    <mergeCell ref="D73:E73"/>
    <mergeCell ref="D107:E107"/>
    <mergeCell ref="D72:E72"/>
    <mergeCell ref="D74:E74"/>
    <mergeCell ref="D96:E96"/>
    <mergeCell ref="D98:E98"/>
    <mergeCell ref="D81:E81"/>
    <mergeCell ref="D83:E83"/>
    <mergeCell ref="D84:E84"/>
    <mergeCell ref="D92:E92"/>
    <mergeCell ref="D157:E157"/>
    <mergeCell ref="D34:E34"/>
    <mergeCell ref="D13:E13"/>
    <mergeCell ref="D106:E106"/>
    <mergeCell ref="D43:E43"/>
    <mergeCell ref="D52:E52"/>
    <mergeCell ref="D35:E35"/>
    <mergeCell ref="D30:E30"/>
    <mergeCell ref="D31:E31"/>
    <mergeCell ref="D59:E59"/>
    <mergeCell ref="A8:A9"/>
    <mergeCell ref="D66:E66"/>
    <mergeCell ref="D56:E56"/>
    <mergeCell ref="B8:B9"/>
    <mergeCell ref="D24:E24"/>
    <mergeCell ref="D20:E20"/>
    <mergeCell ref="D21:E21"/>
    <mergeCell ref="D33:E33"/>
    <mergeCell ref="D45:E45"/>
    <mergeCell ref="D44:E44"/>
    <mergeCell ref="J8:J9"/>
    <mergeCell ref="G8:G9"/>
    <mergeCell ref="H8:I8"/>
    <mergeCell ref="D22:E22"/>
    <mergeCell ref="D28:E28"/>
    <mergeCell ref="F8:F9"/>
    <mergeCell ref="D8:E9"/>
    <mergeCell ref="D141:E141"/>
    <mergeCell ref="D142:E142"/>
    <mergeCell ref="D32:E32"/>
    <mergeCell ref="D79:E79"/>
    <mergeCell ref="D88:E88"/>
    <mergeCell ref="D89:E89"/>
    <mergeCell ref="D90:E90"/>
    <mergeCell ref="D82:E82"/>
    <mergeCell ref="D93:E93"/>
    <mergeCell ref="D94:E94"/>
    <mergeCell ref="D145:E145"/>
    <mergeCell ref="D121:E121"/>
    <mergeCell ref="D69:E69"/>
    <mergeCell ref="D108:E108"/>
    <mergeCell ref="D64:E64"/>
    <mergeCell ref="D97:E97"/>
    <mergeCell ref="D129:E129"/>
    <mergeCell ref="D99:E99"/>
    <mergeCell ref="D75:E75"/>
    <mergeCell ref="D85:E85"/>
    <mergeCell ref="I197:J197"/>
    <mergeCell ref="D174:E174"/>
    <mergeCell ref="D155:E155"/>
    <mergeCell ref="D156:E156"/>
    <mergeCell ref="D159:E159"/>
    <mergeCell ref="D146:E146"/>
    <mergeCell ref="D160:E160"/>
    <mergeCell ref="D147:E147"/>
    <mergeCell ref="D148:E148"/>
    <mergeCell ref="D149:E149"/>
    <mergeCell ref="D134:E134"/>
    <mergeCell ref="D123:E123"/>
    <mergeCell ref="D114:E114"/>
    <mergeCell ref="A103:F103"/>
    <mergeCell ref="D119:E119"/>
    <mergeCell ref="D105:E105"/>
    <mergeCell ref="D117:E117"/>
    <mergeCell ref="D109:E109"/>
    <mergeCell ref="D122:E122"/>
    <mergeCell ref="D120:E120"/>
    <mergeCell ref="D164:E164"/>
    <mergeCell ref="D110:E110"/>
    <mergeCell ref="D111:E111"/>
    <mergeCell ref="D144:E144"/>
    <mergeCell ref="D150:E150"/>
    <mergeCell ref="D130:E130"/>
    <mergeCell ref="D131:E131"/>
    <mergeCell ref="D132:E132"/>
    <mergeCell ref="D133:E133"/>
    <mergeCell ref="D151:E151"/>
    <mergeCell ref="D165:E165"/>
    <mergeCell ref="D173:E173"/>
    <mergeCell ref="D166:E166"/>
    <mergeCell ref="D167:E167"/>
    <mergeCell ref="D161:E161"/>
    <mergeCell ref="D152:E152"/>
    <mergeCell ref="D153:E153"/>
    <mergeCell ref="D154:E154"/>
    <mergeCell ref="D163:E163"/>
    <mergeCell ref="D158:E158"/>
    <mergeCell ref="D183:E183"/>
    <mergeCell ref="D184:E184"/>
    <mergeCell ref="D186:E186"/>
    <mergeCell ref="D168:E168"/>
    <mergeCell ref="D179:E179"/>
    <mergeCell ref="D169:E169"/>
    <mergeCell ref="D170:E170"/>
    <mergeCell ref="D171:E171"/>
    <mergeCell ref="D172:E172"/>
    <mergeCell ref="A176:F176"/>
  </mergeCells>
  <dataValidations count="1">
    <dataValidation type="decimal" operator="greaterThanOrEqual" allowBlank="1" showInputMessage="1" showErrorMessage="1" error="Digite apenas números.&#10;&#10;preferencialmente com 02 casas de precisão." sqref="G105:G134 G177:G195 G139:G173 G20:G58 G64:G99">
      <formula1>0</formula1>
    </dataValidation>
  </dataValidations>
  <printOptions horizontalCentered="1" verticalCentered="1"/>
  <pageMargins left="0.5905511811023623" right="0.3937007874015748" top="0.5905511811023623" bottom="0.3937007874015748" header="0.31496062992125984" footer="0.31496062992125984"/>
  <pageSetup fitToHeight="1" fitToWidth="1" horizontalDpi="600" verticalDpi="600" orientation="landscape" paperSize="9" scale="74" r:id="rId2"/>
  <ignoredErrors>
    <ignoredError sqref="I181 I184 I18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view="pageBreakPreview" zoomScaleSheetLayoutView="100" zoomScalePageLayoutView="0" workbookViewId="0" topLeftCell="A8">
      <selection activeCell="C24" sqref="C24"/>
    </sheetView>
  </sheetViews>
  <sheetFormatPr defaultColWidth="9.140625" defaultRowHeight="15"/>
  <cols>
    <col min="1" max="1" width="9.8515625" style="0" bestFit="1" customWidth="1"/>
    <col min="3" max="3" width="13.421875" style="0" bestFit="1" customWidth="1"/>
    <col min="4" max="4" width="9.8515625" style="0" bestFit="1" customWidth="1"/>
    <col min="7" max="7" width="13.57421875" style="0" bestFit="1" customWidth="1"/>
    <col min="9" max="9" width="13.28125" style="0" bestFit="1" customWidth="1"/>
    <col min="11" max="11" width="19.7109375" style="0" bestFit="1" customWidth="1"/>
    <col min="12" max="12" width="12.421875" style="0" bestFit="1" customWidth="1"/>
    <col min="13" max="13" width="10.8515625" style="0" bestFit="1" customWidth="1"/>
  </cols>
  <sheetData>
    <row r="1" spans="1:17" ht="15.75" hidden="1" thickBot="1">
      <c r="A1" s="345" t="s">
        <v>357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7"/>
    </row>
    <row r="2" spans="1:17" ht="15" hidden="1">
      <c r="A2" s="114"/>
      <c r="D2" s="348" t="s">
        <v>358</v>
      </c>
      <c r="E2" s="348"/>
      <c r="F2" s="348"/>
      <c r="Q2" s="115"/>
    </row>
    <row r="3" spans="1:17" ht="60" hidden="1">
      <c r="A3" s="116" t="s">
        <v>359</v>
      </c>
      <c r="B3" s="117" t="s">
        <v>360</v>
      </c>
      <c r="C3" s="117" t="s">
        <v>361</v>
      </c>
      <c r="D3" s="117" t="s">
        <v>359</v>
      </c>
      <c r="E3" s="117" t="s">
        <v>360</v>
      </c>
      <c r="F3" s="117" t="s">
        <v>362</v>
      </c>
      <c r="G3" s="117" t="s">
        <v>363</v>
      </c>
      <c r="H3" s="118" t="s">
        <v>364</v>
      </c>
      <c r="I3" s="117" t="s">
        <v>365</v>
      </c>
      <c r="J3" s="117" t="s">
        <v>366</v>
      </c>
      <c r="K3" s="117" t="s">
        <v>367</v>
      </c>
      <c r="L3" s="117" t="s">
        <v>368</v>
      </c>
      <c r="M3" s="117" t="s">
        <v>369</v>
      </c>
      <c r="N3" s="117" t="s">
        <v>370</v>
      </c>
      <c r="O3" s="118" t="s">
        <v>371</v>
      </c>
      <c r="P3" s="118" t="s">
        <v>372</v>
      </c>
      <c r="Q3" s="119" t="s">
        <v>373</v>
      </c>
    </row>
    <row r="4" spans="1:17" ht="15" hidden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2"/>
    </row>
    <row r="5" spans="1:17" ht="15.75" hidden="1" thickBo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5"/>
    </row>
    <row r="6" spans="1:17" ht="15.75" thickBot="1">
      <c r="A6" s="345" t="s">
        <v>406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7"/>
    </row>
    <row r="7" spans="1:17" ht="15">
      <c r="A7" s="114"/>
      <c r="D7" s="348" t="s">
        <v>358</v>
      </c>
      <c r="E7" s="348"/>
      <c r="F7" s="348"/>
      <c r="Q7" s="115"/>
    </row>
    <row r="8" spans="1:17" ht="60">
      <c r="A8" s="116" t="s">
        <v>359</v>
      </c>
      <c r="B8" s="117" t="s">
        <v>360</v>
      </c>
      <c r="C8" s="117" t="s">
        <v>361</v>
      </c>
      <c r="D8" s="117" t="s">
        <v>359</v>
      </c>
      <c r="E8" s="117" t="s">
        <v>360</v>
      </c>
      <c r="F8" s="117" t="s">
        <v>362</v>
      </c>
      <c r="G8" s="117" t="s">
        <v>374</v>
      </c>
      <c r="H8" s="118" t="s">
        <v>375</v>
      </c>
      <c r="I8" s="117" t="s">
        <v>365</v>
      </c>
      <c r="J8" s="117" t="s">
        <v>366</v>
      </c>
      <c r="K8" s="117" t="s">
        <v>367</v>
      </c>
      <c r="L8" s="117" t="s">
        <v>368</v>
      </c>
      <c r="M8" s="117" t="s">
        <v>369</v>
      </c>
      <c r="N8" s="117" t="s">
        <v>370</v>
      </c>
      <c r="O8" s="118" t="s">
        <v>371</v>
      </c>
      <c r="P8" s="118" t="s">
        <v>372</v>
      </c>
      <c r="Q8" s="119" t="s">
        <v>373</v>
      </c>
    </row>
    <row r="9" spans="1:19" ht="15">
      <c r="A9" s="126">
        <v>21</v>
      </c>
      <c r="B9" s="127">
        <v>22</v>
      </c>
      <c r="C9" s="121">
        <v>40.13</v>
      </c>
      <c r="D9" s="121">
        <v>1.75</v>
      </c>
      <c r="E9" s="121">
        <v>1.6</v>
      </c>
      <c r="F9" s="121">
        <f>ROUND(AVERAGE(D9:E9),2)</f>
        <v>1.68</v>
      </c>
      <c r="G9" s="121">
        <v>1.8</v>
      </c>
      <c r="H9" s="121">
        <f>0.35</f>
        <v>0.35</v>
      </c>
      <c r="I9" s="121">
        <f>F9+G9+H9</f>
        <v>3.83</v>
      </c>
      <c r="J9" s="121">
        <f>G9+1</f>
        <v>2.8</v>
      </c>
      <c r="K9" s="121">
        <f>ROUND(J9*I9*C9,2)</f>
        <v>430.35</v>
      </c>
      <c r="L9" s="121">
        <f>ROUND(C9*(G9+F9)*2,2)</f>
        <v>279.3</v>
      </c>
      <c r="M9" s="121">
        <f>F9+G9</f>
        <v>3.48</v>
      </c>
      <c r="N9" s="121">
        <f>M9-1.45</f>
        <v>2.0300000000000002</v>
      </c>
      <c r="O9" s="121">
        <f>ROUND(J9*C9*0.2,2)</f>
        <v>22.47</v>
      </c>
      <c r="P9" s="121">
        <f>ROUND(C9*0.48,2)</f>
        <v>19.26</v>
      </c>
      <c r="Q9" s="122">
        <f>ROUND(K9-O9-P9-2.4*2.4*C9,2)</f>
        <v>157.47</v>
      </c>
      <c r="R9" s="155"/>
      <c r="S9" s="155"/>
    </row>
    <row r="10" spans="1:19" ht="15">
      <c r="A10" s="126">
        <v>22</v>
      </c>
      <c r="B10" s="127">
        <v>23</v>
      </c>
      <c r="C10" s="121">
        <v>48.57</v>
      </c>
      <c r="D10" s="121">
        <v>1.6</v>
      </c>
      <c r="E10" s="121">
        <v>2.95</v>
      </c>
      <c r="F10" s="121">
        <f aca="true" t="shared" si="0" ref="F10:F15">ROUND(AVERAGE(D10:E10),2)</f>
        <v>2.28</v>
      </c>
      <c r="G10" s="121">
        <v>1.8</v>
      </c>
      <c r="H10" s="121">
        <f aca="true" t="shared" si="1" ref="H10:H15">0.35</f>
        <v>0.35</v>
      </c>
      <c r="I10" s="121">
        <f aca="true" t="shared" si="2" ref="I10:I15">F10+G10+H10</f>
        <v>4.43</v>
      </c>
      <c r="J10" s="121">
        <f aca="true" t="shared" si="3" ref="J10:J15">G10+1</f>
        <v>2.8</v>
      </c>
      <c r="K10" s="121">
        <f aca="true" t="shared" si="4" ref="K10:K15">ROUND(J10*I10*C10,2)</f>
        <v>602.46</v>
      </c>
      <c r="L10" s="121">
        <f aca="true" t="shared" si="5" ref="L10:L15">ROUND(C10*(G10+F10)*2,2)</f>
        <v>396.33</v>
      </c>
      <c r="M10" s="121">
        <f>F10+G10</f>
        <v>4.08</v>
      </c>
      <c r="N10" s="121">
        <f>M10-1.45</f>
        <v>2.63</v>
      </c>
      <c r="O10" s="121">
        <f aca="true" t="shared" si="6" ref="O10:O15">ROUND(J10*C10*0.2,2)</f>
        <v>27.2</v>
      </c>
      <c r="P10" s="121">
        <f aca="true" t="shared" si="7" ref="P10:P15">ROUND(C10*0.48,2)</f>
        <v>23.31</v>
      </c>
      <c r="Q10" s="122">
        <f aca="true" t="shared" si="8" ref="Q10:Q15">ROUND(K10-O10-P10-2.4*2.4*C10,2)</f>
        <v>272.19</v>
      </c>
      <c r="R10" s="155"/>
      <c r="S10" s="155"/>
    </row>
    <row r="11" spans="1:19" ht="15">
      <c r="A11" s="126">
        <v>23</v>
      </c>
      <c r="B11" s="127">
        <v>24</v>
      </c>
      <c r="C11" s="121">
        <v>48.88</v>
      </c>
      <c r="D11" s="121">
        <v>2.95</v>
      </c>
      <c r="E11" s="121">
        <v>3.91</v>
      </c>
      <c r="F11" s="121">
        <f t="shared" si="0"/>
        <v>3.43</v>
      </c>
      <c r="G11" s="121">
        <v>1.8</v>
      </c>
      <c r="H11" s="121">
        <f t="shared" si="1"/>
        <v>0.35</v>
      </c>
      <c r="I11" s="121">
        <f t="shared" si="2"/>
        <v>5.58</v>
      </c>
      <c r="J11" s="121">
        <f t="shared" si="3"/>
        <v>2.8</v>
      </c>
      <c r="K11" s="121">
        <f t="shared" si="4"/>
        <v>763.7</v>
      </c>
      <c r="L11" s="121">
        <f t="shared" si="5"/>
        <v>511.28</v>
      </c>
      <c r="M11" s="121">
        <f>F11+G11</f>
        <v>5.23</v>
      </c>
      <c r="N11" s="121">
        <f>M11-1.45</f>
        <v>3.7800000000000002</v>
      </c>
      <c r="O11" s="121">
        <f t="shared" si="6"/>
        <v>27.37</v>
      </c>
      <c r="P11" s="121">
        <f t="shared" si="7"/>
        <v>23.46</v>
      </c>
      <c r="Q11" s="122">
        <f t="shared" si="8"/>
        <v>431.32</v>
      </c>
      <c r="R11" s="155"/>
      <c r="S11" s="155"/>
    </row>
    <row r="12" spans="1:19" ht="15">
      <c r="A12" s="126">
        <v>24</v>
      </c>
      <c r="B12" s="127" t="s">
        <v>376</v>
      </c>
      <c r="C12" s="121">
        <v>21.51</v>
      </c>
      <c r="D12" s="121">
        <v>3.91</v>
      </c>
      <c r="E12" s="121">
        <v>2.54</v>
      </c>
      <c r="F12" s="121">
        <f t="shared" si="0"/>
        <v>3.23</v>
      </c>
      <c r="G12" s="121">
        <v>1.8</v>
      </c>
      <c r="H12" s="121">
        <f t="shared" si="1"/>
        <v>0.35</v>
      </c>
      <c r="I12" s="121">
        <f t="shared" si="2"/>
        <v>5.38</v>
      </c>
      <c r="J12" s="121">
        <f t="shared" si="3"/>
        <v>2.8</v>
      </c>
      <c r="K12" s="121">
        <f t="shared" si="4"/>
        <v>324.03</v>
      </c>
      <c r="L12" s="121">
        <f t="shared" si="5"/>
        <v>216.39</v>
      </c>
      <c r="M12" s="121">
        <f>F12+G12</f>
        <v>5.03</v>
      </c>
      <c r="N12" s="121">
        <f>M12-1.45</f>
        <v>3.58</v>
      </c>
      <c r="O12" s="121">
        <f t="shared" si="6"/>
        <v>12.05</v>
      </c>
      <c r="P12" s="121">
        <f t="shared" si="7"/>
        <v>10.32</v>
      </c>
      <c r="Q12" s="122">
        <f t="shared" si="8"/>
        <v>177.76</v>
      </c>
      <c r="R12" s="155"/>
      <c r="S12" s="155"/>
    </row>
    <row r="13" spans="1:19" ht="15">
      <c r="A13" s="126" t="s">
        <v>376</v>
      </c>
      <c r="B13" s="127">
        <v>25</v>
      </c>
      <c r="C13" s="121">
        <v>21.44</v>
      </c>
      <c r="D13" s="121">
        <v>2.95</v>
      </c>
      <c r="E13" s="121">
        <v>1.6</v>
      </c>
      <c r="F13" s="121">
        <f t="shared" si="0"/>
        <v>2.28</v>
      </c>
      <c r="G13" s="121">
        <v>1.8</v>
      </c>
      <c r="H13" s="121">
        <f t="shared" si="1"/>
        <v>0.35</v>
      </c>
      <c r="I13" s="121">
        <f t="shared" si="2"/>
        <v>4.43</v>
      </c>
      <c r="J13" s="121">
        <f t="shared" si="3"/>
        <v>2.8</v>
      </c>
      <c r="K13" s="121">
        <f t="shared" si="4"/>
        <v>265.94</v>
      </c>
      <c r="L13" s="121">
        <f t="shared" si="5"/>
        <v>174.95</v>
      </c>
      <c r="M13" s="121">
        <f>F13+G13</f>
        <v>4.08</v>
      </c>
      <c r="N13" s="121">
        <f>M13-1.45</f>
        <v>2.63</v>
      </c>
      <c r="O13" s="121">
        <f t="shared" si="6"/>
        <v>12.01</v>
      </c>
      <c r="P13" s="121">
        <f t="shared" si="7"/>
        <v>10.29</v>
      </c>
      <c r="Q13" s="122">
        <f t="shared" si="8"/>
        <v>120.15</v>
      </c>
      <c r="R13" s="155"/>
      <c r="S13" s="155"/>
    </row>
    <row r="14" spans="1:19" ht="15">
      <c r="A14" s="126">
        <v>25</v>
      </c>
      <c r="B14" s="127">
        <v>26</v>
      </c>
      <c r="C14" s="121">
        <v>32.13</v>
      </c>
      <c r="D14" s="121">
        <v>1.98</v>
      </c>
      <c r="E14" s="121">
        <v>1.6</v>
      </c>
      <c r="F14" s="121">
        <f t="shared" si="0"/>
        <v>1.79</v>
      </c>
      <c r="G14" s="121">
        <v>1.8</v>
      </c>
      <c r="H14" s="121">
        <f t="shared" si="1"/>
        <v>0.35</v>
      </c>
      <c r="I14" s="121">
        <f t="shared" si="2"/>
        <v>3.94</v>
      </c>
      <c r="J14" s="121">
        <f t="shared" si="3"/>
        <v>2.8</v>
      </c>
      <c r="K14" s="121">
        <f t="shared" si="4"/>
        <v>354.46</v>
      </c>
      <c r="L14" s="121">
        <f t="shared" si="5"/>
        <v>230.69</v>
      </c>
      <c r="M14" s="121"/>
      <c r="N14" s="121"/>
      <c r="O14" s="121">
        <f t="shared" si="6"/>
        <v>17.99</v>
      </c>
      <c r="P14" s="121">
        <f t="shared" si="7"/>
        <v>15.42</v>
      </c>
      <c r="Q14" s="122">
        <f t="shared" si="8"/>
        <v>135.98</v>
      </c>
      <c r="R14" s="155"/>
      <c r="S14" s="155"/>
    </row>
    <row r="15" spans="1:19" ht="15.75" thickBot="1">
      <c r="A15" s="128">
        <v>26</v>
      </c>
      <c r="B15" s="129">
        <v>27</v>
      </c>
      <c r="C15" s="130">
        <v>23.86</v>
      </c>
      <c r="D15" s="130">
        <v>1.6</v>
      </c>
      <c r="E15" s="130">
        <v>0.39</v>
      </c>
      <c r="F15" s="130">
        <f t="shared" si="0"/>
        <v>1</v>
      </c>
      <c r="G15" s="121">
        <v>1.8</v>
      </c>
      <c r="H15" s="130">
        <f t="shared" si="1"/>
        <v>0.35</v>
      </c>
      <c r="I15" s="130">
        <f t="shared" si="2"/>
        <v>3.15</v>
      </c>
      <c r="J15" s="130">
        <f t="shared" si="3"/>
        <v>2.8</v>
      </c>
      <c r="K15" s="130">
        <f t="shared" si="4"/>
        <v>210.45</v>
      </c>
      <c r="L15" s="130">
        <f t="shared" si="5"/>
        <v>133.62</v>
      </c>
      <c r="M15" s="130"/>
      <c r="N15" s="130"/>
      <c r="O15" s="130">
        <f t="shared" si="6"/>
        <v>13.36</v>
      </c>
      <c r="P15" s="130">
        <f t="shared" si="7"/>
        <v>11.45</v>
      </c>
      <c r="Q15" s="131">
        <f t="shared" si="8"/>
        <v>48.21</v>
      </c>
      <c r="R15" s="155"/>
      <c r="S15" s="155"/>
    </row>
    <row r="16" ht="15.75" thickBot="1"/>
    <row r="17" spans="3:11" ht="15.75" thickBot="1">
      <c r="C17" s="345" t="s">
        <v>377</v>
      </c>
      <c r="D17" s="346"/>
      <c r="E17" s="347"/>
      <c r="G17" s="349" t="s">
        <v>378</v>
      </c>
      <c r="H17" s="350"/>
      <c r="I17" s="350"/>
      <c r="J17" s="350"/>
      <c r="K17" s="351"/>
    </row>
    <row r="18" spans="3:14" ht="30">
      <c r="C18" s="132" t="s">
        <v>379</v>
      </c>
      <c r="D18" s="133">
        <f>ROUND(SUM(C9:C14)*4,2)</f>
        <v>850.64</v>
      </c>
      <c r="E18" s="134" t="s">
        <v>380</v>
      </c>
      <c r="G18" s="135" t="s">
        <v>381</v>
      </c>
      <c r="H18" s="136" t="s">
        <v>382</v>
      </c>
      <c r="I18" s="136" t="s">
        <v>383</v>
      </c>
      <c r="J18" s="136" t="s">
        <v>384</v>
      </c>
      <c r="K18" s="137" t="s">
        <v>385</v>
      </c>
      <c r="N18" s="155"/>
    </row>
    <row r="19" spans="3:14" ht="30">
      <c r="C19" s="138" t="s">
        <v>386</v>
      </c>
      <c r="D19" s="112">
        <f>ROUND(SUM(K9:K15)*0.85,2)-1.03</f>
        <v>2507.6499999999996</v>
      </c>
      <c r="E19" s="139" t="s">
        <v>387</v>
      </c>
      <c r="G19" s="126" t="s">
        <v>388</v>
      </c>
      <c r="H19" s="113">
        <f>D19+D20-D28</f>
        <v>1882.3299999999997</v>
      </c>
      <c r="I19" s="113">
        <v>10</v>
      </c>
      <c r="J19" s="113">
        <v>1.15</v>
      </c>
      <c r="K19" s="140">
        <f>ROUND(J19*I19*H19,2)</f>
        <v>21646.8</v>
      </c>
      <c r="N19" s="155"/>
    </row>
    <row r="20" spans="3:11" ht="30">
      <c r="C20" s="138" t="s">
        <v>389</v>
      </c>
      <c r="D20" s="112">
        <f>ROUND(SUM(K9:K15)*0.25,2)-20.09</f>
        <v>717.76</v>
      </c>
      <c r="E20" s="139" t="s">
        <v>387</v>
      </c>
      <c r="G20" s="126" t="s">
        <v>11</v>
      </c>
      <c r="H20" s="113">
        <f>D26</f>
        <v>132.45</v>
      </c>
      <c r="I20" s="113">
        <v>57</v>
      </c>
      <c r="J20" s="113">
        <v>1.1</v>
      </c>
      <c r="K20" s="140">
        <f>ROUND(J20*I20*H20,2)</f>
        <v>8304.62</v>
      </c>
    </row>
    <row r="21" spans="3:11" ht="15.75" thickBot="1">
      <c r="C21" s="138"/>
      <c r="D21" s="112"/>
      <c r="E21" s="139"/>
      <c r="G21" s="128" t="s">
        <v>390</v>
      </c>
      <c r="H21" s="141">
        <f>D27</f>
        <v>113.50999999999999</v>
      </c>
      <c r="I21" s="141">
        <v>99.1116</v>
      </c>
      <c r="J21" s="141">
        <v>1</v>
      </c>
      <c r="K21" s="142">
        <f>ROUND(J21*I21*H21,2)</f>
        <v>11250.16</v>
      </c>
    </row>
    <row r="22" spans="3:5" ht="15.75" thickBot="1">
      <c r="C22" s="138" t="s">
        <v>408</v>
      </c>
      <c r="D22" s="112">
        <v>232</v>
      </c>
      <c r="E22" s="139" t="s">
        <v>391</v>
      </c>
    </row>
    <row r="23" spans="3:13" ht="15.75" thickBot="1">
      <c r="C23" s="138"/>
      <c r="D23" s="112"/>
      <c r="E23" s="139"/>
      <c r="G23" s="345" t="s">
        <v>407</v>
      </c>
      <c r="H23" s="346"/>
      <c r="I23" s="346"/>
      <c r="J23" s="346"/>
      <c r="K23" s="346"/>
      <c r="L23" s="346"/>
      <c r="M23" s="347"/>
    </row>
    <row r="24" spans="3:13" ht="45">
      <c r="C24" s="143" t="s">
        <v>393</v>
      </c>
      <c r="D24" s="112">
        <v>5</v>
      </c>
      <c r="E24" s="139" t="s">
        <v>392</v>
      </c>
      <c r="G24" s="144" t="s">
        <v>394</v>
      </c>
      <c r="H24" s="145" t="s">
        <v>395</v>
      </c>
      <c r="I24" s="145" t="s">
        <v>396</v>
      </c>
      <c r="J24" s="146" t="s">
        <v>397</v>
      </c>
      <c r="K24" s="145" t="s">
        <v>398</v>
      </c>
      <c r="L24" s="145" t="s">
        <v>383</v>
      </c>
      <c r="M24" s="147" t="s">
        <v>399</v>
      </c>
    </row>
    <row r="25" spans="3:13" ht="30.75" thickBot="1">
      <c r="C25" s="143" t="s">
        <v>400</v>
      </c>
      <c r="D25" s="112">
        <f>SUM(N9:N13)</f>
        <v>14.650000000000002</v>
      </c>
      <c r="E25" s="139" t="s">
        <v>391</v>
      </c>
      <c r="G25" s="148">
        <v>4.7</v>
      </c>
      <c r="H25" s="149">
        <v>232</v>
      </c>
      <c r="I25" s="149">
        <f>ROUND(H25*G25,2)</f>
        <v>1090.4</v>
      </c>
      <c r="J25" s="149">
        <v>3</v>
      </c>
      <c r="K25" s="149">
        <f>J25*I25</f>
        <v>3271.2000000000003</v>
      </c>
      <c r="L25" s="149">
        <v>330</v>
      </c>
      <c r="M25" s="150">
        <f>ROUND(L25*I25,2)</f>
        <v>359832</v>
      </c>
    </row>
    <row r="26" spans="3:5" ht="30">
      <c r="C26" s="138" t="s">
        <v>401</v>
      </c>
      <c r="D26" s="112">
        <f>SUM(O9:O15)</f>
        <v>132.45</v>
      </c>
      <c r="E26" s="139" t="s">
        <v>387</v>
      </c>
    </row>
    <row r="27" spans="3:8" ht="60">
      <c r="C27" s="138" t="s">
        <v>402</v>
      </c>
      <c r="D27" s="112">
        <f>SUM(P9:P15)</f>
        <v>113.50999999999999</v>
      </c>
      <c r="E27" s="139" t="s">
        <v>387</v>
      </c>
      <c r="H27" s="155"/>
    </row>
    <row r="28" spans="3:5" ht="15">
      <c r="C28" s="138" t="s">
        <v>373</v>
      </c>
      <c r="D28" s="121">
        <f>SUM(Q9:Q15)+Q4</f>
        <v>1343.0800000000002</v>
      </c>
      <c r="E28" s="151" t="s">
        <v>387</v>
      </c>
    </row>
    <row r="29" spans="3:5" ht="15">
      <c r="C29" s="138"/>
      <c r="D29" s="121"/>
      <c r="E29" s="139"/>
    </row>
    <row r="30" spans="3:5" ht="30">
      <c r="C30" s="138" t="s">
        <v>403</v>
      </c>
      <c r="D30" s="121">
        <f>SUM(K19:K21)</f>
        <v>41201.58</v>
      </c>
      <c r="E30" s="139" t="s">
        <v>404</v>
      </c>
    </row>
    <row r="31" spans="3:5" ht="45.75" thickBot="1">
      <c r="C31" s="152" t="s">
        <v>405</v>
      </c>
      <c r="D31" s="153">
        <f>0.3*2*D22</f>
        <v>139.2</v>
      </c>
      <c r="E31" s="154" t="s">
        <v>380</v>
      </c>
    </row>
  </sheetData>
  <sheetProtection/>
  <mergeCells count="7">
    <mergeCell ref="G23:M23"/>
    <mergeCell ref="A1:Q1"/>
    <mergeCell ref="D2:F2"/>
    <mergeCell ref="A6:Q6"/>
    <mergeCell ref="D7:F7"/>
    <mergeCell ref="C17:E17"/>
    <mergeCell ref="G17:K17"/>
  </mergeCells>
  <printOptions/>
  <pageMargins left="0.511811024" right="0.511811024" top="0.787401575" bottom="0.787401575" header="0.31496062" footer="0.31496062"/>
  <pageSetup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6"/>
  <sheetViews>
    <sheetView zoomScalePageLayoutView="0" workbookViewId="0" topLeftCell="A1">
      <selection activeCell="A12" sqref="A12:J12"/>
    </sheetView>
  </sheetViews>
  <sheetFormatPr defaultColWidth="9.140625" defaultRowHeight="15"/>
  <cols>
    <col min="3" max="3" width="72.57421875" style="0" customWidth="1"/>
    <col min="4" max="4" width="7.140625" style="0" bestFit="1" customWidth="1"/>
    <col min="5" max="6" width="7.00390625" style="0" hidden="1" customWidth="1"/>
    <col min="7" max="7" width="8.28125" style="0" bestFit="1" customWidth="1"/>
    <col min="8" max="8" width="10.00390625" style="0" bestFit="1" customWidth="1"/>
    <col min="9" max="9" width="10.7109375" style="0" bestFit="1" customWidth="1"/>
  </cols>
  <sheetData>
    <row r="1" spans="1:9" ht="15">
      <c r="A1" s="358" t="s">
        <v>260</v>
      </c>
      <c r="B1" s="358"/>
      <c r="C1" s="358"/>
      <c r="D1" s="358"/>
      <c r="E1" s="358"/>
      <c r="F1" s="358"/>
      <c r="G1" s="358"/>
      <c r="H1" s="358"/>
      <c r="I1" s="358"/>
    </row>
    <row r="2" spans="1:9" ht="15">
      <c r="A2" s="89" t="s">
        <v>54</v>
      </c>
      <c r="B2" s="86"/>
      <c r="C2" s="90"/>
      <c r="D2" s="88"/>
      <c r="E2" s="88"/>
      <c r="F2" s="88"/>
      <c r="G2" s="88"/>
      <c r="H2" s="91" t="s">
        <v>146</v>
      </c>
      <c r="I2" s="91" t="s">
        <v>146</v>
      </c>
    </row>
    <row r="3" spans="1:9" ht="15">
      <c r="A3" s="93" t="s">
        <v>147</v>
      </c>
      <c r="B3" s="95" t="s">
        <v>148</v>
      </c>
      <c r="C3" s="94" t="s">
        <v>74</v>
      </c>
      <c r="D3" s="93" t="s">
        <v>149</v>
      </c>
      <c r="E3" s="93"/>
      <c r="F3" s="93"/>
      <c r="G3" s="93" t="s">
        <v>150</v>
      </c>
      <c r="H3" s="92" t="s">
        <v>151</v>
      </c>
      <c r="I3" s="93" t="s">
        <v>152</v>
      </c>
    </row>
    <row r="4" spans="1:9" ht="23.25">
      <c r="A4" s="96" t="s">
        <v>310</v>
      </c>
      <c r="B4" s="96" t="s">
        <v>159</v>
      </c>
      <c r="C4" s="97" t="s">
        <v>131</v>
      </c>
      <c r="D4" s="96" t="s">
        <v>124</v>
      </c>
      <c r="E4" s="98">
        <v>633.2499999999998</v>
      </c>
      <c r="F4" s="98">
        <v>638.2999999999997</v>
      </c>
      <c r="G4" s="99"/>
      <c r="H4" s="100">
        <v>633.2499999999998</v>
      </c>
      <c r="I4" s="101">
        <v>638.2999999999997</v>
      </c>
    </row>
    <row r="5" spans="1:9" ht="23.25">
      <c r="A5" s="102" t="s">
        <v>140</v>
      </c>
      <c r="B5" s="102" t="s">
        <v>160</v>
      </c>
      <c r="C5" s="85" t="s">
        <v>195</v>
      </c>
      <c r="D5" s="103" t="s">
        <v>196</v>
      </c>
      <c r="E5" s="103">
        <v>1021.92</v>
      </c>
      <c r="F5" s="103">
        <v>1021.92</v>
      </c>
      <c r="G5" s="104">
        <v>2.5548</v>
      </c>
      <c r="H5" s="105">
        <v>400</v>
      </c>
      <c r="I5" s="105">
        <v>400</v>
      </c>
    </row>
    <row r="6" spans="1:9" ht="23.25">
      <c r="A6" s="102" t="s">
        <v>119</v>
      </c>
      <c r="B6" s="102" t="s">
        <v>161</v>
      </c>
      <c r="C6" s="85" t="s">
        <v>197</v>
      </c>
      <c r="D6" s="103" t="s">
        <v>198</v>
      </c>
      <c r="E6" s="103">
        <v>13.61</v>
      </c>
      <c r="F6" s="103">
        <v>13.77</v>
      </c>
      <c r="G6" s="104">
        <v>0.058</v>
      </c>
      <c r="H6" s="105">
        <v>234.66</v>
      </c>
      <c r="I6" s="105">
        <v>237.54</v>
      </c>
    </row>
    <row r="7" spans="1:9" ht="23.25">
      <c r="A7" s="102" t="s">
        <v>119</v>
      </c>
      <c r="B7" s="102" t="s">
        <v>162</v>
      </c>
      <c r="C7" s="85" t="s">
        <v>199</v>
      </c>
      <c r="D7" s="103" t="s">
        <v>200</v>
      </c>
      <c r="E7" s="103">
        <v>11.47</v>
      </c>
      <c r="F7" s="103">
        <v>11.81</v>
      </c>
      <c r="G7" s="104">
        <v>0.1186</v>
      </c>
      <c r="H7" s="105">
        <v>96.78</v>
      </c>
      <c r="I7" s="105">
        <v>99.66</v>
      </c>
    </row>
    <row r="8" spans="1:9" ht="15">
      <c r="A8" s="102" t="s">
        <v>119</v>
      </c>
      <c r="B8" s="102" t="s">
        <v>163</v>
      </c>
      <c r="C8" s="85" t="s">
        <v>201</v>
      </c>
      <c r="D8" s="103" t="s">
        <v>99</v>
      </c>
      <c r="E8" s="103">
        <v>23.84</v>
      </c>
      <c r="F8" s="103">
        <v>26.57</v>
      </c>
      <c r="G8" s="104">
        <v>1.4126</v>
      </c>
      <c r="H8" s="105">
        <v>16.88</v>
      </c>
      <c r="I8" s="105">
        <v>18.81</v>
      </c>
    </row>
    <row r="9" spans="1:9" ht="34.5">
      <c r="A9" s="102" t="s">
        <v>119</v>
      </c>
      <c r="B9" s="102" t="s">
        <v>164</v>
      </c>
      <c r="C9" s="85" t="s">
        <v>202</v>
      </c>
      <c r="D9" s="103" t="s">
        <v>198</v>
      </c>
      <c r="E9" s="103">
        <v>10.05</v>
      </c>
      <c r="F9" s="103">
        <v>10.19</v>
      </c>
      <c r="G9" s="104">
        <v>0.058</v>
      </c>
      <c r="H9" s="105">
        <v>173.37</v>
      </c>
      <c r="I9" s="105">
        <v>175.69</v>
      </c>
    </row>
    <row r="10" spans="1:9" ht="23.25">
      <c r="A10" s="102" t="s">
        <v>119</v>
      </c>
      <c r="B10" s="102" t="s">
        <v>165</v>
      </c>
      <c r="C10" s="85" t="s">
        <v>203</v>
      </c>
      <c r="D10" s="103" t="s">
        <v>198</v>
      </c>
      <c r="E10" s="103">
        <v>13.41</v>
      </c>
      <c r="F10" s="103">
        <v>13.61</v>
      </c>
      <c r="G10" s="104">
        <v>0.0951</v>
      </c>
      <c r="H10" s="105">
        <v>141.03</v>
      </c>
      <c r="I10" s="105">
        <v>143.17</v>
      </c>
    </row>
    <row r="11" spans="1:9" ht="23.25">
      <c r="A11" s="102" t="s">
        <v>119</v>
      </c>
      <c r="B11" s="102" t="s">
        <v>166</v>
      </c>
      <c r="C11" s="85" t="s">
        <v>204</v>
      </c>
      <c r="D11" s="103" t="s">
        <v>200</v>
      </c>
      <c r="E11" s="103">
        <v>4.1</v>
      </c>
      <c r="F11" s="103">
        <v>4.27</v>
      </c>
      <c r="G11" s="104">
        <v>0.0815</v>
      </c>
      <c r="H11" s="105">
        <v>50.35</v>
      </c>
      <c r="I11" s="105">
        <v>52.49</v>
      </c>
    </row>
    <row r="12" spans="1:9" ht="23.25">
      <c r="A12" s="102" t="s">
        <v>119</v>
      </c>
      <c r="B12" s="102" t="s">
        <v>167</v>
      </c>
      <c r="C12" s="85" t="s">
        <v>205</v>
      </c>
      <c r="D12" s="103" t="s">
        <v>200</v>
      </c>
      <c r="E12" s="103">
        <v>4.96</v>
      </c>
      <c r="F12" s="103">
        <v>5.38</v>
      </c>
      <c r="G12" s="104">
        <v>0.1339</v>
      </c>
      <c r="H12" s="105">
        <v>37.07</v>
      </c>
      <c r="I12" s="105">
        <v>40.21</v>
      </c>
    </row>
    <row r="13" spans="1:9" ht="23.25">
      <c r="A13" s="102" t="s">
        <v>119</v>
      </c>
      <c r="B13" s="102" t="s">
        <v>168</v>
      </c>
      <c r="C13" s="85" t="s">
        <v>206</v>
      </c>
      <c r="D13" s="103" t="s">
        <v>198</v>
      </c>
      <c r="E13" s="103">
        <v>3.73</v>
      </c>
      <c r="F13" s="103">
        <v>3.86</v>
      </c>
      <c r="G13" s="104">
        <v>0.0427</v>
      </c>
      <c r="H13" s="105">
        <v>87.38</v>
      </c>
      <c r="I13" s="105">
        <v>90.52</v>
      </c>
    </row>
    <row r="14" spans="1:9" ht="23.25">
      <c r="A14" s="102" t="s">
        <v>119</v>
      </c>
      <c r="B14" s="102" t="s">
        <v>169</v>
      </c>
      <c r="C14" s="85" t="s">
        <v>207</v>
      </c>
      <c r="D14" s="103" t="s">
        <v>198</v>
      </c>
      <c r="E14" s="103">
        <v>6.97</v>
      </c>
      <c r="F14" s="103">
        <v>7.08</v>
      </c>
      <c r="G14" s="104">
        <v>0.0495</v>
      </c>
      <c r="H14" s="105">
        <v>140.95</v>
      </c>
      <c r="I14" s="105">
        <v>143.09</v>
      </c>
    </row>
    <row r="15" spans="1:9" ht="23.25">
      <c r="A15" s="102" t="s">
        <v>119</v>
      </c>
      <c r="B15" s="102" t="s">
        <v>170</v>
      </c>
      <c r="C15" s="85" t="s">
        <v>208</v>
      </c>
      <c r="D15" s="103" t="s">
        <v>200</v>
      </c>
      <c r="E15" s="103">
        <v>16.35</v>
      </c>
      <c r="F15" s="103">
        <v>17</v>
      </c>
      <c r="G15" s="104">
        <v>0.3037</v>
      </c>
      <c r="H15" s="105">
        <v>53.86</v>
      </c>
      <c r="I15" s="105">
        <v>56</v>
      </c>
    </row>
    <row r="16" spans="1:9" ht="15">
      <c r="A16" s="102" t="s">
        <v>140</v>
      </c>
      <c r="B16" s="102" t="s">
        <v>171</v>
      </c>
      <c r="C16" s="85" t="s">
        <v>209</v>
      </c>
      <c r="D16" s="103" t="s">
        <v>196</v>
      </c>
      <c r="E16" s="103">
        <v>-497.16</v>
      </c>
      <c r="F16" s="103">
        <v>-497.16</v>
      </c>
      <c r="G16" s="104">
        <v>-0.153288</v>
      </c>
      <c r="H16" s="105">
        <v>3243.32</v>
      </c>
      <c r="I16" s="105">
        <v>3243.32</v>
      </c>
    </row>
    <row r="17" spans="1:9" ht="15">
      <c r="A17" s="93"/>
      <c r="B17" s="95"/>
      <c r="C17" s="94"/>
      <c r="D17" s="93"/>
      <c r="E17" s="93"/>
      <c r="F17" s="93"/>
      <c r="G17" s="93"/>
      <c r="H17" s="92"/>
      <c r="I17" s="93"/>
    </row>
    <row r="18" spans="1:9" ht="15">
      <c r="A18" s="96" t="s">
        <v>310</v>
      </c>
      <c r="B18" s="96" t="s">
        <v>121</v>
      </c>
      <c r="C18" s="97" t="s">
        <v>56</v>
      </c>
      <c r="D18" s="96"/>
      <c r="E18" s="98">
        <v>0.5700000000000001</v>
      </c>
      <c r="F18" s="98">
        <v>0.5900000000000001</v>
      </c>
      <c r="G18" s="99"/>
      <c r="H18" s="100">
        <v>0.5700000000000001</v>
      </c>
      <c r="I18" s="101">
        <v>0.5900000000000001</v>
      </c>
    </row>
    <row r="19" spans="1:9" ht="23.25">
      <c r="A19" s="102" t="s">
        <v>140</v>
      </c>
      <c r="B19" s="102" t="s">
        <v>172</v>
      </c>
      <c r="C19" s="85" t="s">
        <v>210</v>
      </c>
      <c r="D19" s="103" t="s">
        <v>193</v>
      </c>
      <c r="E19" s="103">
        <v>1.16</v>
      </c>
      <c r="F19" s="103">
        <v>1.16</v>
      </c>
      <c r="G19" s="104">
        <v>0.5</v>
      </c>
      <c r="H19" s="105">
        <v>2.33</v>
      </c>
      <c r="I19" s="105">
        <v>2.33</v>
      </c>
    </row>
    <row r="20" spans="1:9" ht="34.5">
      <c r="A20" s="102" t="s">
        <v>119</v>
      </c>
      <c r="B20" s="102" t="s">
        <v>173</v>
      </c>
      <c r="C20" s="85" t="s">
        <v>211</v>
      </c>
      <c r="D20" s="103" t="s">
        <v>198</v>
      </c>
      <c r="E20" s="103">
        <v>0.3</v>
      </c>
      <c r="F20" s="103">
        <v>0.31</v>
      </c>
      <c r="G20" s="104">
        <v>0.0018</v>
      </c>
      <c r="H20" s="105">
        <v>170.75</v>
      </c>
      <c r="I20" s="105">
        <v>173.22</v>
      </c>
    </row>
    <row r="21" spans="1:9" ht="15">
      <c r="A21" s="102" t="s">
        <v>119</v>
      </c>
      <c r="B21" s="102" t="s">
        <v>155</v>
      </c>
      <c r="C21" s="85" t="s">
        <v>192</v>
      </c>
      <c r="D21" s="103" t="s">
        <v>99</v>
      </c>
      <c r="E21" s="103">
        <v>0.17</v>
      </c>
      <c r="F21" s="103">
        <v>0.18</v>
      </c>
      <c r="G21" s="104">
        <v>0.0109</v>
      </c>
      <c r="H21" s="105">
        <v>15.66</v>
      </c>
      <c r="I21" s="105">
        <v>17.3</v>
      </c>
    </row>
    <row r="22" spans="1:9" ht="23.25">
      <c r="A22" s="102" t="s">
        <v>119</v>
      </c>
      <c r="B22" s="102" t="s">
        <v>174</v>
      </c>
      <c r="C22" s="85" t="s">
        <v>212</v>
      </c>
      <c r="D22" s="103" t="s">
        <v>198</v>
      </c>
      <c r="E22" s="103">
        <v>0.04</v>
      </c>
      <c r="F22" s="103">
        <v>0.04</v>
      </c>
      <c r="G22" s="104">
        <v>0.0004</v>
      </c>
      <c r="H22" s="105">
        <v>111.35</v>
      </c>
      <c r="I22" s="105">
        <v>114.49</v>
      </c>
    </row>
    <row r="23" spans="1:9" ht="23.25">
      <c r="A23" s="102" t="s">
        <v>119</v>
      </c>
      <c r="B23" s="102" t="s">
        <v>175</v>
      </c>
      <c r="C23" s="85" t="s">
        <v>213</v>
      </c>
      <c r="D23" s="103" t="s">
        <v>200</v>
      </c>
      <c r="E23" s="103">
        <v>0.06</v>
      </c>
      <c r="F23" s="103">
        <v>0.06</v>
      </c>
      <c r="G23" s="104">
        <v>0.0015</v>
      </c>
      <c r="H23" s="105">
        <v>40.72</v>
      </c>
      <c r="I23" s="105">
        <v>43.86</v>
      </c>
    </row>
    <row r="24" spans="1:9" ht="23.25">
      <c r="A24" s="102" t="s">
        <v>140</v>
      </c>
      <c r="B24" s="102" t="s">
        <v>172</v>
      </c>
      <c r="C24" s="85" t="s">
        <v>210</v>
      </c>
      <c r="D24" s="103" t="s">
        <v>193</v>
      </c>
      <c r="E24" s="103">
        <v>-1.16</v>
      </c>
      <c r="F24" s="103">
        <v>-1.16</v>
      </c>
      <c r="G24" s="104">
        <v>-0.5</v>
      </c>
      <c r="H24" s="105">
        <v>2.33</v>
      </c>
      <c r="I24" s="105">
        <v>2.33</v>
      </c>
    </row>
    <row r="25" spans="1:9" ht="15">
      <c r="A25" s="93"/>
      <c r="B25" s="95"/>
      <c r="C25" s="94"/>
      <c r="D25" s="93"/>
      <c r="E25" s="93"/>
      <c r="F25" s="93"/>
      <c r="G25" s="93"/>
      <c r="H25" s="92"/>
      <c r="I25" s="93"/>
    </row>
    <row r="26" spans="1:9" ht="15">
      <c r="A26" s="96" t="s">
        <v>153</v>
      </c>
      <c r="B26" s="96" t="s">
        <v>156</v>
      </c>
      <c r="C26" s="97" t="s">
        <v>246</v>
      </c>
      <c r="D26" s="96"/>
      <c r="E26" s="98">
        <v>9</v>
      </c>
      <c r="F26" s="98">
        <v>9.12</v>
      </c>
      <c r="G26" s="99"/>
      <c r="H26" s="100">
        <v>9</v>
      </c>
      <c r="I26" s="101">
        <v>9.12</v>
      </c>
    </row>
    <row r="27" spans="1:9" ht="23.25">
      <c r="A27" s="102" t="s">
        <v>119</v>
      </c>
      <c r="B27" s="102" t="s">
        <v>176</v>
      </c>
      <c r="C27" s="85" t="s">
        <v>123</v>
      </c>
      <c r="D27" s="103" t="s">
        <v>191</v>
      </c>
      <c r="E27" s="103">
        <v>0.47</v>
      </c>
      <c r="F27" s="103">
        <v>0.47</v>
      </c>
      <c r="G27" s="104">
        <v>1</v>
      </c>
      <c r="H27" s="105">
        <v>0.47</v>
      </c>
      <c r="I27" s="105">
        <v>0.47</v>
      </c>
    </row>
    <row r="28" spans="1:9" ht="23.25">
      <c r="A28" s="102" t="s">
        <v>119</v>
      </c>
      <c r="B28" s="102" t="s">
        <v>177</v>
      </c>
      <c r="C28" s="85" t="s">
        <v>214</v>
      </c>
      <c r="D28" s="103" t="s">
        <v>191</v>
      </c>
      <c r="E28" s="103">
        <v>0.53</v>
      </c>
      <c r="F28" s="103">
        <v>0.55</v>
      </c>
      <c r="G28" s="104">
        <v>1</v>
      </c>
      <c r="H28" s="105">
        <v>0.53</v>
      </c>
      <c r="I28" s="105">
        <v>0.55</v>
      </c>
    </row>
    <row r="29" spans="1:9" ht="23.25">
      <c r="A29" s="111" t="s">
        <v>119</v>
      </c>
      <c r="B29" s="111" t="s">
        <v>180</v>
      </c>
      <c r="C29" s="107" t="s">
        <v>217</v>
      </c>
      <c r="D29" s="108" t="s">
        <v>218</v>
      </c>
      <c r="E29" s="108">
        <v>1.14</v>
      </c>
      <c r="F29" s="108">
        <v>1.15</v>
      </c>
      <c r="G29" s="109">
        <v>1</v>
      </c>
      <c r="H29" s="110">
        <v>1.14</v>
      </c>
      <c r="I29" s="110">
        <v>1.15</v>
      </c>
    </row>
    <row r="30" spans="1:9" ht="23.25">
      <c r="A30" s="102" t="s">
        <v>119</v>
      </c>
      <c r="B30" s="102" t="s">
        <v>311</v>
      </c>
      <c r="C30" s="85" t="s">
        <v>267</v>
      </c>
      <c r="D30" s="103" t="s">
        <v>124</v>
      </c>
      <c r="E30" s="103">
        <v>5.84</v>
      </c>
      <c r="F30" s="103">
        <v>5.92</v>
      </c>
      <c r="G30" s="104">
        <v>1</v>
      </c>
      <c r="H30" s="105">
        <v>5.84</v>
      </c>
      <c r="I30" s="105">
        <v>5.92</v>
      </c>
    </row>
    <row r="31" spans="1:9" ht="15">
      <c r="A31" s="102" t="s">
        <v>119</v>
      </c>
      <c r="B31" s="102" t="s">
        <v>312</v>
      </c>
      <c r="C31" s="85" t="s">
        <v>333</v>
      </c>
      <c r="D31" s="103" t="s">
        <v>218</v>
      </c>
      <c r="E31" s="103">
        <v>1.02</v>
      </c>
      <c r="F31" s="103">
        <v>1.03</v>
      </c>
      <c r="G31" s="104">
        <v>1</v>
      </c>
      <c r="H31" s="105">
        <v>1.02</v>
      </c>
      <c r="I31" s="105">
        <v>1.03</v>
      </c>
    </row>
    <row r="32" spans="1:9" ht="15">
      <c r="A32" s="93"/>
      <c r="B32" s="95"/>
      <c r="C32" s="94"/>
      <c r="D32" s="93"/>
      <c r="E32" s="93"/>
      <c r="F32" s="93"/>
      <c r="G32" s="93"/>
      <c r="H32" s="92"/>
      <c r="I32" s="93"/>
    </row>
    <row r="33" spans="1:9" ht="15">
      <c r="A33" s="96" t="s">
        <v>153</v>
      </c>
      <c r="B33" s="96" t="s">
        <v>157</v>
      </c>
      <c r="C33" s="97" t="s">
        <v>313</v>
      </c>
      <c r="D33" s="96"/>
      <c r="E33" s="98">
        <v>106.72</v>
      </c>
      <c r="F33" s="98">
        <v>112.06</v>
      </c>
      <c r="G33" s="99"/>
      <c r="H33" s="100">
        <v>106.72</v>
      </c>
      <c r="I33" s="101">
        <v>112.06</v>
      </c>
    </row>
    <row r="34" spans="1:9" ht="23.25">
      <c r="A34" s="102" t="s">
        <v>119</v>
      </c>
      <c r="B34" s="102" t="s">
        <v>247</v>
      </c>
      <c r="C34" s="85" t="s">
        <v>257</v>
      </c>
      <c r="D34" s="103" t="s">
        <v>52</v>
      </c>
      <c r="E34" s="103">
        <v>39.65</v>
      </c>
      <c r="F34" s="103">
        <v>42.73</v>
      </c>
      <c r="G34" s="104">
        <v>1</v>
      </c>
      <c r="H34" s="105">
        <v>39.65</v>
      </c>
      <c r="I34" s="105">
        <v>42.73</v>
      </c>
    </row>
    <row r="35" spans="1:9" ht="23.25">
      <c r="A35" s="102" t="s">
        <v>119</v>
      </c>
      <c r="B35" s="102" t="s">
        <v>314</v>
      </c>
      <c r="C35" s="85" t="s">
        <v>281</v>
      </c>
      <c r="D35" s="103" t="s">
        <v>52</v>
      </c>
      <c r="E35" s="103">
        <v>67.07</v>
      </c>
      <c r="F35" s="103">
        <v>69.33</v>
      </c>
      <c r="G35" s="104">
        <v>1</v>
      </c>
      <c r="H35" s="105">
        <v>67.07</v>
      </c>
      <c r="I35" s="105">
        <v>69.33</v>
      </c>
    </row>
    <row r="36" spans="1:9" ht="15">
      <c r="A36" s="93"/>
      <c r="B36" s="95"/>
      <c r="C36" s="94"/>
      <c r="D36" s="93"/>
      <c r="E36" s="93"/>
      <c r="F36" s="93"/>
      <c r="G36" s="93"/>
      <c r="H36" s="92"/>
      <c r="I36" s="93"/>
    </row>
    <row r="37" spans="1:9" ht="15">
      <c r="A37" s="96" t="s">
        <v>153</v>
      </c>
      <c r="B37" s="96" t="s">
        <v>158</v>
      </c>
      <c r="C37" s="97" t="s">
        <v>248</v>
      </c>
      <c r="D37" s="96"/>
      <c r="E37" s="98">
        <v>3462.77</v>
      </c>
      <c r="F37" s="98">
        <v>3483.75</v>
      </c>
      <c r="G37" s="99"/>
      <c r="H37" s="100">
        <v>3462.77</v>
      </c>
      <c r="I37" s="101">
        <v>3483.75</v>
      </c>
    </row>
    <row r="38" spans="1:9" ht="15">
      <c r="A38" s="102" t="s">
        <v>119</v>
      </c>
      <c r="B38" s="102" t="s">
        <v>179</v>
      </c>
      <c r="C38" s="85" t="s">
        <v>216</v>
      </c>
      <c r="D38" s="103" t="s">
        <v>124</v>
      </c>
      <c r="E38" s="103">
        <v>103.13</v>
      </c>
      <c r="F38" s="103">
        <v>107.23</v>
      </c>
      <c r="G38" s="104">
        <v>1</v>
      </c>
      <c r="H38" s="105">
        <v>103.13</v>
      </c>
      <c r="I38" s="105">
        <v>107.23</v>
      </c>
    </row>
    <row r="39" spans="1:9" ht="23.25">
      <c r="A39" s="102" t="s">
        <v>119</v>
      </c>
      <c r="B39" s="102" t="s">
        <v>181</v>
      </c>
      <c r="C39" s="85" t="s">
        <v>139</v>
      </c>
      <c r="D39" s="103" t="s">
        <v>52</v>
      </c>
      <c r="E39" s="103">
        <v>82.9</v>
      </c>
      <c r="F39" s="103">
        <v>90.19</v>
      </c>
      <c r="G39" s="104">
        <v>1</v>
      </c>
      <c r="H39" s="105">
        <v>82.9</v>
      </c>
      <c r="I39" s="105">
        <v>90.19</v>
      </c>
    </row>
    <row r="40" spans="1:9" ht="15">
      <c r="A40" s="102" t="s">
        <v>119</v>
      </c>
      <c r="B40" s="102" t="s">
        <v>182</v>
      </c>
      <c r="C40" s="85" t="s">
        <v>187</v>
      </c>
      <c r="D40" s="103" t="s">
        <v>52</v>
      </c>
      <c r="E40" s="103">
        <v>12.01</v>
      </c>
      <c r="F40" s="103">
        <v>12.17</v>
      </c>
      <c r="G40" s="104">
        <v>1</v>
      </c>
      <c r="H40" s="105">
        <v>12.01</v>
      </c>
      <c r="I40" s="105">
        <v>12.17</v>
      </c>
    </row>
    <row r="41" spans="1:9" ht="23.25">
      <c r="A41" s="102" t="s">
        <v>119</v>
      </c>
      <c r="B41" s="102" t="s">
        <v>183</v>
      </c>
      <c r="C41" s="107" t="s">
        <v>141</v>
      </c>
      <c r="D41" s="108" t="s">
        <v>124</v>
      </c>
      <c r="E41" s="108">
        <v>429.77</v>
      </c>
      <c r="F41" s="108">
        <v>431.65</v>
      </c>
      <c r="G41" s="109">
        <v>1</v>
      </c>
      <c r="H41" s="110">
        <v>429.77</v>
      </c>
      <c r="I41" s="110">
        <v>431.65</v>
      </c>
    </row>
    <row r="42" spans="1:9" ht="15">
      <c r="A42" s="102" t="s">
        <v>184</v>
      </c>
      <c r="B42" s="102" t="s">
        <v>185</v>
      </c>
      <c r="C42" s="85" t="s">
        <v>142</v>
      </c>
      <c r="D42" s="103" t="s">
        <v>194</v>
      </c>
      <c r="E42" s="103">
        <v>2673.71</v>
      </c>
      <c r="F42" s="103">
        <v>2673.71</v>
      </c>
      <c r="G42" s="104">
        <v>1</v>
      </c>
      <c r="H42" s="105">
        <v>2673.71</v>
      </c>
      <c r="I42" s="105">
        <v>2673.71</v>
      </c>
    </row>
    <row r="43" spans="1:9" ht="23.25">
      <c r="A43" s="102" t="s">
        <v>119</v>
      </c>
      <c r="B43" s="102" t="s">
        <v>249</v>
      </c>
      <c r="C43" s="85" t="s">
        <v>258</v>
      </c>
      <c r="D43" s="103" t="s">
        <v>124</v>
      </c>
      <c r="E43" s="103">
        <v>161.25</v>
      </c>
      <c r="F43" s="103">
        <v>168.8</v>
      </c>
      <c r="G43" s="104">
        <v>1</v>
      </c>
      <c r="H43" s="105">
        <v>161.25</v>
      </c>
      <c r="I43" s="105">
        <v>168.8</v>
      </c>
    </row>
    <row r="44" spans="1:9" ht="15">
      <c r="A44" s="93"/>
      <c r="B44" s="95"/>
      <c r="C44" s="94"/>
      <c r="D44" s="93"/>
      <c r="E44" s="93"/>
      <c r="F44" s="93"/>
      <c r="G44" s="93"/>
      <c r="H44" s="92"/>
      <c r="I44" s="93"/>
    </row>
    <row r="45" spans="1:9" ht="15">
      <c r="A45" s="96" t="s">
        <v>153</v>
      </c>
      <c r="B45" s="96" t="s">
        <v>250</v>
      </c>
      <c r="C45" s="97" t="s">
        <v>251</v>
      </c>
      <c r="D45" s="96"/>
      <c r="E45" s="98">
        <v>400.38</v>
      </c>
      <c r="F45" s="98">
        <v>419.44000000000005</v>
      </c>
      <c r="G45" s="99"/>
      <c r="H45" s="100">
        <v>400.38</v>
      </c>
      <c r="I45" s="101">
        <v>419.44000000000005</v>
      </c>
    </row>
    <row r="46" spans="1:9" ht="15">
      <c r="A46" s="111" t="s">
        <v>119</v>
      </c>
      <c r="B46" s="111" t="s">
        <v>252</v>
      </c>
      <c r="C46" s="85" t="s">
        <v>259</v>
      </c>
      <c r="D46" s="103" t="s">
        <v>52</v>
      </c>
      <c r="E46" s="103">
        <v>312.68</v>
      </c>
      <c r="F46" s="103">
        <v>318.11</v>
      </c>
      <c r="G46" s="104">
        <v>1</v>
      </c>
      <c r="H46" s="105">
        <v>312.68</v>
      </c>
      <c r="I46" s="105">
        <v>318.11</v>
      </c>
    </row>
    <row r="47" spans="1:9" ht="23.25">
      <c r="A47" s="111" t="s">
        <v>119</v>
      </c>
      <c r="B47" s="111" t="s">
        <v>186</v>
      </c>
      <c r="C47" s="85" t="s">
        <v>219</v>
      </c>
      <c r="D47" s="103" t="s">
        <v>52</v>
      </c>
      <c r="E47" s="103">
        <v>0.38</v>
      </c>
      <c r="F47" s="103">
        <v>0.41</v>
      </c>
      <c r="G47" s="104">
        <v>1</v>
      </c>
      <c r="H47" s="105">
        <v>0.38</v>
      </c>
      <c r="I47" s="105">
        <v>0.41</v>
      </c>
    </row>
    <row r="48" spans="1:9" ht="15">
      <c r="A48" s="111" t="s">
        <v>119</v>
      </c>
      <c r="B48" s="111" t="s">
        <v>239</v>
      </c>
      <c r="C48" s="85" t="s">
        <v>240</v>
      </c>
      <c r="D48" s="103" t="s">
        <v>99</v>
      </c>
      <c r="E48" s="103">
        <v>87.32</v>
      </c>
      <c r="F48" s="103">
        <v>100.92</v>
      </c>
      <c r="G48" s="104">
        <v>1</v>
      </c>
      <c r="H48" s="105">
        <v>87.32</v>
      </c>
      <c r="I48" s="105">
        <v>100.92</v>
      </c>
    </row>
    <row r="49" spans="1:9" ht="15">
      <c r="A49" s="93"/>
      <c r="B49" s="95"/>
      <c r="C49" s="94"/>
      <c r="D49" s="93"/>
      <c r="E49" s="93"/>
      <c r="F49" s="93"/>
      <c r="G49" s="93"/>
      <c r="H49" s="92"/>
      <c r="I49" s="93"/>
    </row>
    <row r="50" spans="1:9" ht="15">
      <c r="A50" s="96" t="s">
        <v>153</v>
      </c>
      <c r="B50" s="96" t="s">
        <v>253</v>
      </c>
      <c r="C50" s="97" t="s">
        <v>254</v>
      </c>
      <c r="D50" s="96"/>
      <c r="E50" s="98">
        <v>12.89</v>
      </c>
      <c r="F50" s="98">
        <v>12.95</v>
      </c>
      <c r="G50" s="99"/>
      <c r="H50" s="100">
        <v>12.89</v>
      </c>
      <c r="I50" s="101">
        <v>12.95</v>
      </c>
    </row>
    <row r="51" spans="1:9" ht="23.25">
      <c r="A51" s="111" t="s">
        <v>119</v>
      </c>
      <c r="B51" s="111" t="s">
        <v>178</v>
      </c>
      <c r="C51" s="107" t="s">
        <v>215</v>
      </c>
      <c r="D51" s="108" t="s">
        <v>52</v>
      </c>
      <c r="E51" s="108">
        <v>12.89</v>
      </c>
      <c r="F51" s="108">
        <v>12.95</v>
      </c>
      <c r="G51" s="109">
        <v>1</v>
      </c>
      <c r="H51" s="110">
        <v>12.89</v>
      </c>
      <c r="I51" s="110">
        <v>12.95</v>
      </c>
    </row>
    <row r="52" spans="1:9" ht="15">
      <c r="A52" s="93"/>
      <c r="B52" s="95"/>
      <c r="C52" s="94"/>
      <c r="D52" s="93"/>
      <c r="E52" s="93"/>
      <c r="F52" s="93"/>
      <c r="G52" s="93"/>
      <c r="H52" s="92"/>
      <c r="I52" s="93"/>
    </row>
    <row r="53" spans="1:9" ht="23.25">
      <c r="A53" s="96" t="s">
        <v>310</v>
      </c>
      <c r="B53" s="96" t="s">
        <v>315</v>
      </c>
      <c r="C53" s="97" t="s">
        <v>316</v>
      </c>
      <c r="D53" s="96" t="s">
        <v>124</v>
      </c>
      <c r="E53" s="98">
        <v>667.3599999999999</v>
      </c>
      <c r="F53" s="98">
        <v>674.0899999999999</v>
      </c>
      <c r="G53" s="99"/>
      <c r="H53" s="100">
        <v>667.3599999999999</v>
      </c>
      <c r="I53" s="101">
        <v>674.0899999999999</v>
      </c>
    </row>
    <row r="54" spans="1:9" ht="23.25">
      <c r="A54" s="102" t="s">
        <v>184</v>
      </c>
      <c r="B54" s="102" t="s">
        <v>160</v>
      </c>
      <c r="C54" s="85" t="s">
        <v>195</v>
      </c>
      <c r="D54" s="103" t="s">
        <v>196</v>
      </c>
      <c r="E54" s="103">
        <v>1021.92</v>
      </c>
      <c r="F54" s="103">
        <v>1021.92</v>
      </c>
      <c r="G54" s="104" t="s">
        <v>317</v>
      </c>
      <c r="H54" s="105">
        <v>400</v>
      </c>
      <c r="I54" s="105">
        <v>400</v>
      </c>
    </row>
    <row r="55" spans="1:9" ht="23.25">
      <c r="A55" s="111" t="s">
        <v>119</v>
      </c>
      <c r="B55" s="102" t="s">
        <v>161</v>
      </c>
      <c r="C55" s="85" t="s">
        <v>197</v>
      </c>
      <c r="D55" s="103" t="s">
        <v>198</v>
      </c>
      <c r="E55" s="103">
        <v>18.13</v>
      </c>
      <c r="F55" s="103">
        <v>18.36</v>
      </c>
      <c r="G55" s="104" t="s">
        <v>318</v>
      </c>
      <c r="H55" s="105">
        <v>234.66</v>
      </c>
      <c r="I55" s="105">
        <v>237.54</v>
      </c>
    </row>
    <row r="56" spans="1:9" ht="23.25">
      <c r="A56" s="111" t="s">
        <v>119</v>
      </c>
      <c r="B56" s="102" t="s">
        <v>162</v>
      </c>
      <c r="C56" s="85" t="s">
        <v>199</v>
      </c>
      <c r="D56" s="103" t="s">
        <v>200</v>
      </c>
      <c r="E56" s="103">
        <v>15.3</v>
      </c>
      <c r="F56" s="103">
        <v>15.75</v>
      </c>
      <c r="G56" s="104" t="s">
        <v>319</v>
      </c>
      <c r="H56" s="105">
        <v>96.78</v>
      </c>
      <c r="I56" s="105">
        <v>99.66</v>
      </c>
    </row>
    <row r="57" spans="1:9" ht="15">
      <c r="A57" s="111" t="s">
        <v>119</v>
      </c>
      <c r="B57" s="102" t="s">
        <v>163</v>
      </c>
      <c r="C57" s="85" t="s">
        <v>201</v>
      </c>
      <c r="D57" s="103" t="s">
        <v>99</v>
      </c>
      <c r="E57" s="103">
        <v>31.79</v>
      </c>
      <c r="F57" s="103">
        <v>35.42</v>
      </c>
      <c r="G57" s="104" t="s">
        <v>320</v>
      </c>
      <c r="H57" s="105">
        <v>16.88</v>
      </c>
      <c r="I57" s="105">
        <v>18.81</v>
      </c>
    </row>
    <row r="58" spans="1:9" ht="34.5">
      <c r="A58" s="111" t="s">
        <v>119</v>
      </c>
      <c r="B58" s="102" t="s">
        <v>164</v>
      </c>
      <c r="C58" s="85" t="s">
        <v>202</v>
      </c>
      <c r="D58" s="103" t="s">
        <v>198</v>
      </c>
      <c r="E58" s="103">
        <v>13.4</v>
      </c>
      <c r="F58" s="103">
        <v>13.58</v>
      </c>
      <c r="G58" s="104" t="s">
        <v>318</v>
      </c>
      <c r="H58" s="105">
        <v>173.37</v>
      </c>
      <c r="I58" s="105">
        <v>175.69</v>
      </c>
    </row>
    <row r="59" spans="1:9" ht="23.25">
      <c r="A59" s="111" t="s">
        <v>119</v>
      </c>
      <c r="B59" s="102" t="s">
        <v>165</v>
      </c>
      <c r="C59" s="85" t="s">
        <v>203</v>
      </c>
      <c r="D59" s="103" t="s">
        <v>198</v>
      </c>
      <c r="E59" s="103">
        <v>15.76</v>
      </c>
      <c r="F59" s="103">
        <v>16</v>
      </c>
      <c r="G59" s="104" t="s">
        <v>321</v>
      </c>
      <c r="H59" s="105">
        <v>141.03</v>
      </c>
      <c r="I59" s="105">
        <v>143.17</v>
      </c>
    </row>
    <row r="60" spans="1:9" ht="23.25">
      <c r="A60" s="111" t="s">
        <v>119</v>
      </c>
      <c r="B60" s="102" t="s">
        <v>166</v>
      </c>
      <c r="C60" s="85" t="s">
        <v>204</v>
      </c>
      <c r="D60" s="103" t="s">
        <v>200</v>
      </c>
      <c r="E60" s="103">
        <v>6.22</v>
      </c>
      <c r="F60" s="103">
        <v>6.48</v>
      </c>
      <c r="G60" s="104" t="s">
        <v>322</v>
      </c>
      <c r="H60" s="105">
        <v>50.35</v>
      </c>
      <c r="I60" s="105">
        <v>52.49</v>
      </c>
    </row>
    <row r="61" spans="1:9" ht="23.25">
      <c r="A61" s="111" t="s">
        <v>119</v>
      </c>
      <c r="B61" s="102" t="s">
        <v>167</v>
      </c>
      <c r="C61" s="85" t="s">
        <v>205</v>
      </c>
      <c r="D61" s="103" t="s">
        <v>200</v>
      </c>
      <c r="E61" s="103">
        <v>6.61</v>
      </c>
      <c r="F61" s="103">
        <v>7.17</v>
      </c>
      <c r="G61" s="104" t="s">
        <v>323</v>
      </c>
      <c r="H61" s="105">
        <v>37.07</v>
      </c>
      <c r="I61" s="105">
        <v>40.21</v>
      </c>
    </row>
    <row r="62" spans="1:9" ht="23.25">
      <c r="A62" s="111" t="s">
        <v>119</v>
      </c>
      <c r="B62" s="102" t="s">
        <v>168</v>
      </c>
      <c r="C62" s="85" t="s">
        <v>206</v>
      </c>
      <c r="D62" s="103" t="s">
        <v>198</v>
      </c>
      <c r="E62" s="103">
        <v>4.97</v>
      </c>
      <c r="F62" s="103">
        <v>5.15</v>
      </c>
      <c r="G62" s="104" t="s">
        <v>324</v>
      </c>
      <c r="H62" s="105">
        <v>87.38</v>
      </c>
      <c r="I62" s="105">
        <v>90.52</v>
      </c>
    </row>
    <row r="63" spans="1:9" ht="23.25">
      <c r="A63" s="111" t="s">
        <v>119</v>
      </c>
      <c r="B63" s="111" t="s">
        <v>169</v>
      </c>
      <c r="C63" s="107" t="s">
        <v>207</v>
      </c>
      <c r="D63" s="108" t="s">
        <v>198</v>
      </c>
      <c r="E63" s="108">
        <v>8.2</v>
      </c>
      <c r="F63" s="108">
        <v>8.32</v>
      </c>
      <c r="G63" s="109" t="s">
        <v>325</v>
      </c>
      <c r="H63" s="110">
        <v>140.95</v>
      </c>
      <c r="I63" s="110">
        <v>143.09</v>
      </c>
    </row>
    <row r="64" spans="1:9" ht="23.25">
      <c r="A64" s="111" t="s">
        <v>119</v>
      </c>
      <c r="B64" s="102" t="s">
        <v>170</v>
      </c>
      <c r="C64" s="85" t="s">
        <v>208</v>
      </c>
      <c r="D64" s="103" t="s">
        <v>200</v>
      </c>
      <c r="E64" s="103">
        <v>22.22</v>
      </c>
      <c r="F64" s="103">
        <v>23.1</v>
      </c>
      <c r="G64" s="104" t="s">
        <v>326</v>
      </c>
      <c r="H64" s="105">
        <v>53.86</v>
      </c>
      <c r="I64" s="105">
        <v>56</v>
      </c>
    </row>
    <row r="65" spans="1:9" ht="15">
      <c r="A65" s="102" t="s">
        <v>140</v>
      </c>
      <c r="B65" s="102" t="s">
        <v>171</v>
      </c>
      <c r="C65" s="85" t="s">
        <v>209</v>
      </c>
      <c r="D65" s="103" t="s">
        <v>196</v>
      </c>
      <c r="E65" s="103">
        <v>-497.16</v>
      </c>
      <c r="F65" s="103">
        <v>-497.16</v>
      </c>
      <c r="G65" s="104">
        <v>-0.153288</v>
      </c>
      <c r="H65" s="105">
        <v>3243.32</v>
      </c>
      <c r="I65" s="105">
        <v>3243.32</v>
      </c>
    </row>
    <row r="66" spans="1:9" ht="15">
      <c r="A66" s="93"/>
      <c r="B66" s="95"/>
      <c r="C66" s="94"/>
      <c r="D66" s="93"/>
      <c r="E66" s="93"/>
      <c r="F66" s="93"/>
      <c r="G66" s="93"/>
      <c r="H66" s="92"/>
      <c r="I66" s="93"/>
    </row>
    <row r="67" spans="1:9" ht="15">
      <c r="A67" s="96"/>
      <c r="B67" s="96"/>
      <c r="C67" s="97" t="s">
        <v>327</v>
      </c>
      <c r="D67" s="96"/>
      <c r="E67" s="98">
        <v>812.9300000000001</v>
      </c>
      <c r="F67" s="98">
        <v>823.0999999999999</v>
      </c>
      <c r="G67" s="99"/>
      <c r="H67" s="100">
        <v>812.9300000000001</v>
      </c>
      <c r="I67" s="101">
        <v>823.0999999999999</v>
      </c>
    </row>
    <row r="68" spans="1:9" ht="34.5">
      <c r="A68" s="102" t="s">
        <v>119</v>
      </c>
      <c r="B68" s="102" t="s">
        <v>328</v>
      </c>
      <c r="C68" s="85" t="s">
        <v>334</v>
      </c>
      <c r="D68" s="103" t="s">
        <v>124</v>
      </c>
      <c r="E68" s="103">
        <v>11.04</v>
      </c>
      <c r="F68" s="103">
        <v>11.66</v>
      </c>
      <c r="G68" s="104">
        <v>1</v>
      </c>
      <c r="H68" s="105">
        <v>11.04</v>
      </c>
      <c r="I68" s="105">
        <v>11.66</v>
      </c>
    </row>
    <row r="69" spans="1:9" ht="34.5">
      <c r="A69" s="102" t="s">
        <v>119</v>
      </c>
      <c r="B69" s="102" t="s">
        <v>329</v>
      </c>
      <c r="C69" s="85" t="s">
        <v>335</v>
      </c>
      <c r="D69" s="103" t="s">
        <v>154</v>
      </c>
      <c r="E69" s="103">
        <v>22.72</v>
      </c>
      <c r="F69" s="103">
        <v>24.37</v>
      </c>
      <c r="G69" s="104">
        <v>1</v>
      </c>
      <c r="H69" s="105">
        <v>22.72</v>
      </c>
      <c r="I69" s="105">
        <v>24.37</v>
      </c>
    </row>
    <row r="70" spans="1:9" ht="34.5">
      <c r="A70" s="102" t="s">
        <v>119</v>
      </c>
      <c r="B70" s="102" t="s">
        <v>330</v>
      </c>
      <c r="C70" s="85" t="s">
        <v>336</v>
      </c>
      <c r="D70" s="103" t="s">
        <v>154</v>
      </c>
      <c r="E70" s="103">
        <v>299.32</v>
      </c>
      <c r="F70" s="103">
        <v>300.9</v>
      </c>
      <c r="G70" s="104">
        <v>1</v>
      </c>
      <c r="H70" s="105">
        <v>299.32</v>
      </c>
      <c r="I70" s="105">
        <v>300.9</v>
      </c>
    </row>
    <row r="71" spans="1:9" ht="15">
      <c r="A71" s="102" t="s">
        <v>140</v>
      </c>
      <c r="B71" s="102" t="s">
        <v>331</v>
      </c>
      <c r="C71" s="85" t="s">
        <v>337</v>
      </c>
      <c r="D71" s="103" t="s">
        <v>338</v>
      </c>
      <c r="E71" s="103">
        <v>215.77</v>
      </c>
      <c r="F71" s="103">
        <v>215.77</v>
      </c>
      <c r="G71" s="104">
        <v>1</v>
      </c>
      <c r="H71" s="105">
        <v>215.77</v>
      </c>
      <c r="I71" s="105">
        <v>215.77</v>
      </c>
    </row>
    <row r="72" spans="1:9" ht="23.25">
      <c r="A72" s="102" t="s">
        <v>119</v>
      </c>
      <c r="B72" s="102" t="s">
        <v>332</v>
      </c>
      <c r="C72" s="85" t="s">
        <v>339</v>
      </c>
      <c r="D72" s="103" t="s">
        <v>124</v>
      </c>
      <c r="E72" s="103">
        <v>264.08</v>
      </c>
      <c r="F72" s="103">
        <v>270.4</v>
      </c>
      <c r="G72" s="104">
        <v>1</v>
      </c>
      <c r="H72" s="105">
        <v>264.08</v>
      </c>
      <c r="I72" s="105">
        <v>270.4</v>
      </c>
    </row>
    <row r="73" spans="1:9" ht="15">
      <c r="A73" s="93"/>
      <c r="B73" s="95"/>
      <c r="C73" s="94"/>
      <c r="D73" s="93"/>
      <c r="E73" s="93"/>
      <c r="F73" s="93"/>
      <c r="G73" s="93"/>
      <c r="H73" s="92"/>
      <c r="I73" s="93"/>
    </row>
    <row r="74" spans="1:9" ht="15">
      <c r="A74" s="352">
        <v>43742</v>
      </c>
      <c r="B74" s="353"/>
      <c r="C74" s="87"/>
      <c r="D74" s="106"/>
      <c r="E74" s="106"/>
      <c r="F74" s="106"/>
      <c r="G74" s="106"/>
      <c r="H74" s="106"/>
      <c r="I74" s="87"/>
    </row>
    <row r="75" spans="1:9" ht="15">
      <c r="A75" s="87" t="s">
        <v>188</v>
      </c>
      <c r="B75" s="87"/>
      <c r="C75" s="87"/>
      <c r="D75" s="354" t="s">
        <v>189</v>
      </c>
      <c r="E75" s="354"/>
      <c r="F75" s="354"/>
      <c r="G75" s="354"/>
      <c r="H75" s="355" t="s">
        <v>255</v>
      </c>
      <c r="I75" s="355"/>
    </row>
    <row r="76" spans="1:9" ht="15">
      <c r="A76" s="87"/>
      <c r="B76" s="87"/>
      <c r="C76" s="87"/>
      <c r="D76" s="356" t="s">
        <v>190</v>
      </c>
      <c r="E76" s="356"/>
      <c r="F76" s="356"/>
      <c r="G76" s="356"/>
      <c r="H76" s="357" t="s">
        <v>256</v>
      </c>
      <c r="I76" s="357"/>
    </row>
  </sheetData>
  <sheetProtection/>
  <mergeCells count="6">
    <mergeCell ref="A74:B74"/>
    <mergeCell ref="D75:G75"/>
    <mergeCell ref="H75:I75"/>
    <mergeCell ref="D76:G76"/>
    <mergeCell ref="H76:I76"/>
    <mergeCell ref="A1:I1"/>
  </mergeCells>
  <conditionalFormatting sqref="A74:B74">
    <cfRule type="expression" priority="1" dxfId="0" stopIfTrue="1">
      <formula>A74&lt;&gt;""</formula>
    </cfRule>
  </conditionalFormatting>
  <printOptions/>
  <pageMargins left="0.5118110236220472" right="0.5118110236220472" top="0.7874015748031497" bottom="0.7874015748031497" header="0.31496062992125984" footer="0.31496062992125984"/>
  <pageSetup fitToHeight="2" fitToWidth="1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9"/>
  <sheetViews>
    <sheetView view="pageBreakPreview" zoomScale="145" zoomScaleSheetLayoutView="145" zoomScalePageLayoutView="0" workbookViewId="0" topLeftCell="A1">
      <selection activeCell="A12" sqref="A12:J12"/>
    </sheetView>
  </sheetViews>
  <sheetFormatPr defaultColWidth="11.57421875" defaultRowHeight="15"/>
  <cols>
    <col min="1" max="1" width="5.00390625" style="0" customWidth="1"/>
    <col min="2" max="2" width="9.8515625" style="0" customWidth="1"/>
    <col min="3" max="3" width="21.28125" style="0" customWidth="1"/>
    <col min="4" max="7" width="13.00390625" style="0" customWidth="1"/>
    <col min="8" max="10" width="5.7109375" style="0" customWidth="1"/>
    <col min="11" max="19" width="11.57421875" style="10" customWidth="1"/>
  </cols>
  <sheetData>
    <row r="1" spans="2:19" s="2" customFormat="1" ht="15">
      <c r="B1" s="364"/>
      <c r="C1" s="364"/>
      <c r="D1" s="364"/>
      <c r="E1" s="364"/>
      <c r="F1" s="364"/>
      <c r="G1" s="364"/>
      <c r="H1" s="364"/>
      <c r="I1" s="364"/>
      <c r="J1" s="364"/>
      <c r="K1" s="1"/>
      <c r="L1" s="1"/>
      <c r="M1" s="1"/>
      <c r="N1" s="1"/>
      <c r="O1" s="1"/>
      <c r="P1" s="1"/>
      <c r="Q1" s="1"/>
      <c r="R1" s="1"/>
      <c r="S1" s="1"/>
    </row>
    <row r="2" spans="2:19" s="3" customFormat="1" ht="15" customHeight="1">
      <c r="B2" s="365" t="s">
        <v>0</v>
      </c>
      <c r="C2" s="365"/>
      <c r="D2" s="365"/>
      <c r="E2" s="365"/>
      <c r="F2" s="365"/>
      <c r="G2" s="365"/>
      <c r="H2" s="365"/>
      <c r="I2" s="365"/>
      <c r="J2" s="365"/>
      <c r="K2" s="1"/>
      <c r="L2" s="1"/>
      <c r="M2" s="1"/>
      <c r="N2" s="1"/>
      <c r="O2" s="1"/>
      <c r="P2" s="1"/>
      <c r="Q2" s="1"/>
      <c r="R2" s="1"/>
      <c r="S2" s="1"/>
    </row>
    <row r="3" spans="2:19" s="3" customFormat="1" ht="15" customHeight="1">
      <c r="B3" s="365"/>
      <c r="C3" s="365"/>
      <c r="D3" s="365"/>
      <c r="E3" s="365"/>
      <c r="F3" s="365"/>
      <c r="G3" s="365"/>
      <c r="H3" s="365"/>
      <c r="I3" s="365"/>
      <c r="J3" s="365"/>
      <c r="K3" s="1"/>
      <c r="L3" s="1"/>
      <c r="M3" s="1"/>
      <c r="N3" s="1"/>
      <c r="O3" s="1"/>
      <c r="P3" s="1"/>
      <c r="Q3" s="1"/>
      <c r="R3" s="1"/>
      <c r="S3" s="1"/>
    </row>
    <row r="4" spans="2:19" s="6" customFormat="1" ht="19.5" customHeight="1">
      <c r="B4" s="366" t="s">
        <v>1</v>
      </c>
      <c r="C4" s="366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5"/>
      <c r="L4" s="5"/>
      <c r="M4" s="5"/>
      <c r="N4" s="5"/>
      <c r="O4" s="5"/>
      <c r="P4" s="5"/>
      <c r="Q4" s="5"/>
      <c r="R4" s="5"/>
      <c r="S4" s="5"/>
    </row>
    <row r="5" spans="2:19" s="3" customFormat="1" ht="14.25" customHeight="1">
      <c r="B5" s="363" t="s">
        <v>9</v>
      </c>
      <c r="C5" s="363"/>
      <c r="D5" s="7" t="s">
        <v>10</v>
      </c>
      <c r="E5" s="7"/>
      <c r="F5" s="7"/>
      <c r="G5" s="7"/>
      <c r="H5" s="7">
        <v>4</v>
      </c>
      <c r="I5" s="7"/>
      <c r="J5" s="7"/>
      <c r="K5" s="8"/>
      <c r="L5" s="1"/>
      <c r="M5" s="1"/>
      <c r="N5" s="1"/>
      <c r="O5" s="1"/>
      <c r="P5" s="1"/>
      <c r="Q5" s="1"/>
      <c r="R5" s="1"/>
      <c r="S5" s="1"/>
    </row>
    <row r="6" spans="2:19" s="3" customFormat="1" ht="14.25" customHeight="1">
      <c r="B6" s="363" t="s">
        <v>11</v>
      </c>
      <c r="C6" s="363"/>
      <c r="D6" s="9"/>
      <c r="E6" s="7" t="s">
        <v>10</v>
      </c>
      <c r="F6" s="7"/>
      <c r="G6" s="7"/>
      <c r="H6" s="7">
        <v>105</v>
      </c>
      <c r="I6" s="7"/>
      <c r="J6" s="7"/>
      <c r="K6" s="8"/>
      <c r="L6" s="1"/>
      <c r="M6" s="1"/>
      <c r="N6" s="1"/>
      <c r="O6" s="1"/>
      <c r="P6" s="1"/>
      <c r="Q6" s="1"/>
      <c r="R6" s="1"/>
      <c r="S6" s="1"/>
    </row>
    <row r="7" spans="2:19" s="3" customFormat="1" ht="14.25" customHeight="1">
      <c r="B7" s="363" t="s">
        <v>12</v>
      </c>
      <c r="C7" s="363"/>
      <c r="D7" s="9"/>
      <c r="E7" s="7" t="s">
        <v>10</v>
      </c>
      <c r="F7" s="7"/>
      <c r="G7" s="7"/>
      <c r="H7" s="7">
        <v>105</v>
      </c>
      <c r="I7" s="7"/>
      <c r="J7" s="7"/>
      <c r="K7" s="8"/>
      <c r="L7" s="1"/>
      <c r="M7" s="1"/>
      <c r="N7" s="1"/>
      <c r="O7" s="1"/>
      <c r="P7" s="1"/>
      <c r="Q7" s="1"/>
      <c r="R7" s="1"/>
      <c r="S7" s="1"/>
    </row>
    <row r="8" spans="2:19" s="3" customFormat="1" ht="14.25" customHeight="1">
      <c r="B8" s="361" t="s">
        <v>13</v>
      </c>
      <c r="C8" s="361"/>
      <c r="D8" s="9"/>
      <c r="E8" s="7" t="s">
        <v>10</v>
      </c>
      <c r="F8" s="7"/>
      <c r="G8" s="7"/>
      <c r="H8" s="7">
        <v>20</v>
      </c>
      <c r="I8" s="7"/>
      <c r="J8" s="7"/>
      <c r="K8" s="8"/>
      <c r="L8" s="1"/>
      <c r="M8" s="1"/>
      <c r="N8" s="1"/>
      <c r="O8" s="1"/>
      <c r="P8" s="1"/>
      <c r="Q8" s="1"/>
      <c r="R8" s="1"/>
      <c r="S8" s="1"/>
    </row>
    <row r="9" spans="2:19" s="3" customFormat="1" ht="14.25" customHeight="1">
      <c r="B9" s="361" t="s">
        <v>14</v>
      </c>
      <c r="C9" s="361"/>
      <c r="D9" s="9"/>
      <c r="E9" s="7" t="s">
        <v>10</v>
      </c>
      <c r="F9" s="7"/>
      <c r="G9" s="7"/>
      <c r="H9" s="7">
        <v>105</v>
      </c>
      <c r="I9" s="7">
        <v>1</v>
      </c>
      <c r="J9" s="7"/>
      <c r="K9" s="8"/>
      <c r="L9" s="1"/>
      <c r="M9" s="1"/>
      <c r="N9" s="1"/>
      <c r="O9" s="1"/>
      <c r="P9" s="1"/>
      <c r="Q9" s="1"/>
      <c r="R9" s="1"/>
      <c r="S9" s="1"/>
    </row>
    <row r="10" spans="2:19" s="3" customFormat="1" ht="14.25" customHeight="1">
      <c r="B10" s="361" t="s">
        <v>15</v>
      </c>
      <c r="C10" s="361"/>
      <c r="D10" s="9"/>
      <c r="E10" s="7" t="s">
        <v>10</v>
      </c>
      <c r="F10" s="7"/>
      <c r="G10" s="7"/>
      <c r="H10" s="7">
        <v>305</v>
      </c>
      <c r="I10" s="7"/>
      <c r="J10" s="7"/>
      <c r="K10" s="8"/>
      <c r="L10" s="1"/>
      <c r="M10" s="1"/>
      <c r="N10" s="1"/>
      <c r="O10" s="1"/>
      <c r="P10" s="1"/>
      <c r="Q10" s="1"/>
      <c r="R10" s="1"/>
      <c r="S10" s="1"/>
    </row>
    <row r="11" spans="2:19" s="3" customFormat="1" ht="14.25" customHeight="1">
      <c r="B11" s="361" t="s">
        <v>16</v>
      </c>
      <c r="C11" s="361"/>
      <c r="D11" s="7" t="s">
        <v>17</v>
      </c>
      <c r="E11" s="7" t="s">
        <v>17</v>
      </c>
      <c r="F11" s="7" t="s">
        <v>17</v>
      </c>
      <c r="G11" s="7" t="s">
        <v>17</v>
      </c>
      <c r="H11" s="7"/>
      <c r="I11" s="7"/>
      <c r="J11" s="7"/>
      <c r="K11" s="8"/>
      <c r="L11" s="1"/>
      <c r="M11" s="1"/>
      <c r="N11" s="1"/>
      <c r="O11" s="1"/>
      <c r="P11" s="1"/>
      <c r="Q11" s="1"/>
      <c r="R11" s="1"/>
      <c r="S11" s="1"/>
    </row>
    <row r="12" spans="2:10" ht="21.75" customHeight="1">
      <c r="B12" s="10"/>
      <c r="C12" s="10"/>
      <c r="D12" s="10"/>
      <c r="E12" s="10"/>
      <c r="F12" s="10"/>
      <c r="G12" s="10"/>
      <c r="H12" s="10"/>
      <c r="I12" s="10"/>
      <c r="J12" s="10"/>
    </row>
    <row r="13" spans="2:10" s="1" customFormat="1" ht="15">
      <c r="B13" s="362" t="s">
        <v>18</v>
      </c>
      <c r="C13" s="362"/>
      <c r="D13" s="362"/>
      <c r="E13" s="362"/>
      <c r="F13" s="362"/>
      <c r="G13" s="362"/>
      <c r="H13" s="362"/>
      <c r="I13" s="362"/>
      <c r="J13" s="362"/>
    </row>
    <row r="14" spans="2:10" s="1" customFormat="1" ht="15">
      <c r="B14" s="362" t="s">
        <v>19</v>
      </c>
      <c r="C14" s="362"/>
      <c r="D14" s="362"/>
      <c r="E14" s="362"/>
      <c r="F14" s="362"/>
      <c r="G14" s="362"/>
      <c r="H14" s="362"/>
      <c r="I14" s="362"/>
      <c r="J14" s="362"/>
    </row>
    <row r="15" spans="2:10" s="1" customFormat="1" ht="15">
      <c r="B15" s="362" t="s">
        <v>20</v>
      </c>
      <c r="C15" s="362"/>
      <c r="D15" s="362"/>
      <c r="E15" s="362"/>
      <c r="F15" s="362"/>
      <c r="G15" s="362"/>
      <c r="H15" s="362"/>
      <c r="I15" s="362"/>
      <c r="J15" s="362"/>
    </row>
    <row r="16" spans="2:10" s="1" customFormat="1" ht="15">
      <c r="B16" s="362" t="s">
        <v>21</v>
      </c>
      <c r="C16" s="362"/>
      <c r="D16" s="362"/>
      <c r="E16" s="362"/>
      <c r="F16" s="362"/>
      <c r="G16" s="362"/>
      <c r="H16" s="362"/>
      <c r="I16" s="362"/>
      <c r="J16" s="362"/>
    </row>
    <row r="17" spans="2:10" ht="19.5" customHeight="1">
      <c r="B17" s="10"/>
      <c r="C17" s="10"/>
      <c r="D17" s="10"/>
      <c r="E17" s="10"/>
      <c r="F17" s="10"/>
      <c r="G17" s="10"/>
      <c r="H17" s="10"/>
      <c r="I17" s="10"/>
      <c r="J17" s="10"/>
    </row>
    <row r="18" spans="2:19" s="3" customFormat="1" ht="14.25" customHeight="1">
      <c r="B18" s="359" t="s">
        <v>22</v>
      </c>
      <c r="C18" s="359"/>
      <c r="D18" s="359"/>
      <c r="E18" s="359"/>
      <c r="F18" s="35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s="3" customFormat="1" ht="15">
      <c r="B19" s="11" t="s">
        <v>17</v>
      </c>
      <c r="C19" s="360" t="s">
        <v>23</v>
      </c>
      <c r="D19" s="360"/>
      <c r="E19" s="360"/>
      <c r="F19" s="360"/>
      <c r="G19" s="12"/>
      <c r="H19" s="12"/>
      <c r="I19" s="12"/>
      <c r="J19" s="12"/>
      <c r="K19" s="1"/>
      <c r="L19" s="1"/>
      <c r="M19" s="1"/>
      <c r="N19" s="1"/>
      <c r="O19" s="1"/>
      <c r="P19" s="1"/>
      <c r="Q19" s="1"/>
      <c r="R19" s="1"/>
      <c r="S19" s="1"/>
    </row>
    <row r="20" spans="2:19" s="3" customFormat="1" ht="15">
      <c r="B20" s="11" t="s">
        <v>10</v>
      </c>
      <c r="C20" s="360" t="s">
        <v>24</v>
      </c>
      <c r="D20" s="360"/>
      <c r="E20" s="360"/>
      <c r="F20" s="360"/>
      <c r="G20" s="12"/>
      <c r="H20" s="12"/>
      <c r="I20" s="12"/>
      <c r="J20" s="12"/>
      <c r="K20" s="1"/>
      <c r="L20" s="1"/>
      <c r="M20" s="1"/>
      <c r="N20" s="1"/>
      <c r="O20" s="1"/>
      <c r="P20" s="1"/>
      <c r="Q20" s="1"/>
      <c r="R20" s="1"/>
      <c r="S20" s="1"/>
    </row>
    <row r="21" spans="2:19" s="3" customFormat="1" ht="15">
      <c r="B21" s="11" t="s">
        <v>6</v>
      </c>
      <c r="C21" s="360" t="s">
        <v>25</v>
      </c>
      <c r="D21" s="360"/>
      <c r="E21" s="360"/>
      <c r="F21" s="360"/>
      <c r="G21" s="12"/>
      <c r="H21" s="12"/>
      <c r="I21" s="12"/>
      <c r="J21" s="12"/>
      <c r="K21" s="1"/>
      <c r="L21" s="1"/>
      <c r="M21" s="1"/>
      <c r="N21" s="1"/>
      <c r="O21" s="1"/>
      <c r="P21" s="1"/>
      <c r="Q21" s="1"/>
      <c r="R21" s="1"/>
      <c r="S21" s="1"/>
    </row>
    <row r="22" spans="2:19" s="3" customFormat="1" ht="15">
      <c r="B22" s="11" t="s">
        <v>7</v>
      </c>
      <c r="C22" s="360" t="s">
        <v>26</v>
      </c>
      <c r="D22" s="360"/>
      <c r="E22" s="360"/>
      <c r="F22" s="360"/>
      <c r="G22" s="12"/>
      <c r="H22" s="12"/>
      <c r="I22" s="12"/>
      <c r="J22" s="12"/>
      <c r="K22" s="1"/>
      <c r="L22" s="1"/>
      <c r="M22" s="1"/>
      <c r="N22" s="1"/>
      <c r="O22" s="1"/>
      <c r="P22" s="1"/>
      <c r="Q22" s="1"/>
      <c r="R22" s="1"/>
      <c r="S22" s="1"/>
    </row>
    <row r="23" spans="2:19" s="3" customFormat="1" ht="15">
      <c r="B23" s="11" t="s">
        <v>8</v>
      </c>
      <c r="C23" s="360" t="s">
        <v>27</v>
      </c>
      <c r="D23" s="360"/>
      <c r="E23" s="360"/>
      <c r="F23" s="360"/>
      <c r="G23" s="12"/>
      <c r="H23" s="12"/>
      <c r="I23" s="12"/>
      <c r="J23" s="12"/>
      <c r="K23" s="1"/>
      <c r="L23" s="1"/>
      <c r="M23" s="1"/>
      <c r="N23" s="1"/>
      <c r="O23" s="1"/>
      <c r="P23" s="1"/>
      <c r="Q23" s="1"/>
      <c r="R23" s="1"/>
      <c r="S23" s="1"/>
    </row>
    <row r="24" s="10" customFormat="1" ht="15"/>
    <row r="25" spans="3:9" s="10" customFormat="1" ht="15">
      <c r="C25" s="73" t="s">
        <v>28</v>
      </c>
      <c r="D25" s="74" t="s">
        <v>29</v>
      </c>
      <c r="E25" s="75"/>
      <c r="F25" s="75"/>
      <c r="G25" s="75"/>
      <c r="H25" s="75"/>
      <c r="I25" s="76"/>
    </row>
    <row r="26" spans="3:9" s="10" customFormat="1" ht="15">
      <c r="C26" s="83">
        <v>42856</v>
      </c>
      <c r="D26" s="78" t="s">
        <v>49</v>
      </c>
      <c r="E26" s="79"/>
      <c r="F26" s="79"/>
      <c r="G26" s="79"/>
      <c r="H26" s="79"/>
      <c r="I26" s="80"/>
    </row>
    <row r="27" s="10" customFormat="1" ht="15"/>
    <row r="28" spans="3:9" s="10" customFormat="1" ht="15">
      <c r="C28" s="73" t="s">
        <v>30</v>
      </c>
      <c r="D28" s="81"/>
      <c r="E28" s="75"/>
      <c r="F28" s="75"/>
      <c r="G28" s="75"/>
      <c r="H28" s="75"/>
      <c r="I28" s="76"/>
    </row>
    <row r="29" spans="3:9" s="10" customFormat="1" ht="15">
      <c r="C29" s="77"/>
      <c r="D29" s="82"/>
      <c r="E29" s="79"/>
      <c r="F29" s="79"/>
      <c r="G29" s="79"/>
      <c r="H29" s="79"/>
      <c r="I29" s="80"/>
    </row>
    <row r="30" s="10" customFormat="1" ht="15"/>
    <row r="31" s="10" customFormat="1" ht="15"/>
    <row r="32" s="10" customFormat="1" ht="15"/>
    <row r="33" s="10" customFormat="1" ht="15"/>
    <row r="34" s="10" customFormat="1" ht="15"/>
    <row r="35" s="10" customFormat="1" ht="15"/>
    <row r="36" s="10" customFormat="1" ht="15"/>
    <row r="37" s="10" customFormat="1" ht="15"/>
    <row r="38" s="10" customFormat="1" ht="15"/>
    <row r="39" s="10" customFormat="1" ht="15"/>
    <row r="40" s="10" customFormat="1" ht="15"/>
    <row r="41" s="10" customFormat="1" ht="15"/>
    <row r="42" s="10" customFormat="1" ht="15"/>
    <row r="43" s="10" customFormat="1" ht="15"/>
    <row r="44" s="10" customFormat="1" ht="15"/>
    <row r="45" s="10" customFormat="1" ht="15"/>
    <row r="46" s="10" customFormat="1" ht="15"/>
    <row r="47" s="10" customFormat="1" ht="15"/>
    <row r="48" s="10" customFormat="1" ht="15"/>
    <row r="49" s="10" customFormat="1" ht="15"/>
    <row r="50" s="10" customFormat="1" ht="15"/>
    <row r="51" s="10" customFormat="1" ht="15"/>
    <row r="52" s="10" customFormat="1" ht="15"/>
  </sheetData>
  <sheetProtection/>
  <mergeCells count="20">
    <mergeCell ref="B6:C6"/>
    <mergeCell ref="B7:C7"/>
    <mergeCell ref="B8:C8"/>
    <mergeCell ref="B9:C9"/>
    <mergeCell ref="B1:J1"/>
    <mergeCell ref="B2:J3"/>
    <mergeCell ref="B4:C4"/>
    <mergeCell ref="B5:C5"/>
    <mergeCell ref="B10:C10"/>
    <mergeCell ref="B11:C11"/>
    <mergeCell ref="B13:J13"/>
    <mergeCell ref="B14:J14"/>
    <mergeCell ref="B15:J15"/>
    <mergeCell ref="B16:J16"/>
    <mergeCell ref="B18:F18"/>
    <mergeCell ref="C19:F19"/>
    <mergeCell ref="C20:F20"/>
    <mergeCell ref="C21:F21"/>
    <mergeCell ref="C22:F22"/>
    <mergeCell ref="C23:F23"/>
  </mergeCells>
  <printOptions/>
  <pageMargins left="0.5118110236220472" right="0.5118110236220472" top="0.7874015748031497" bottom="0.7874015748031497" header="0.31496062992125984" footer="0.31496062992125984"/>
  <pageSetup fitToHeight="1" fitToWidth="1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view="pageBreakPreview" zoomScale="85" zoomScaleSheetLayoutView="85" zoomScalePageLayoutView="0" workbookViewId="0" topLeftCell="A1">
      <selection activeCell="A12" sqref="A12:J12"/>
    </sheetView>
  </sheetViews>
  <sheetFormatPr defaultColWidth="9.7109375" defaultRowHeight="15"/>
  <cols>
    <col min="1" max="1" width="9.7109375" style="14" customWidth="1"/>
    <col min="2" max="2" width="39.00390625" style="70" customWidth="1"/>
    <col min="3" max="3" width="9.00390625" style="14" customWidth="1"/>
    <col min="4" max="4" width="16.8515625" style="70" customWidth="1"/>
    <col min="5" max="5" width="9.00390625" style="14" customWidth="1"/>
    <col min="6" max="6" width="16.8515625" style="14" customWidth="1"/>
    <col min="7" max="7" width="9.00390625" style="14" customWidth="1"/>
    <col min="8" max="8" width="15.8515625" style="14" customWidth="1"/>
    <col min="9" max="9" width="9.00390625" style="14" customWidth="1"/>
    <col min="10" max="10" width="16.8515625" style="14" customWidth="1"/>
    <col min="11" max="11" width="9.00390625" style="14" customWidth="1"/>
    <col min="12" max="12" width="16.8515625" style="14" customWidth="1"/>
    <col min="13" max="13" width="15.8515625" style="14" customWidth="1"/>
    <col min="14" max="14" width="9.00390625" style="14" customWidth="1"/>
    <col min="15" max="16" width="9.7109375" style="14" customWidth="1"/>
    <col min="17" max="17" width="16.421875" style="14" customWidth="1"/>
    <col min="18" max="18" width="10.57421875" style="14" bestFit="1" customWidth="1"/>
    <col min="19" max="21" width="9.7109375" style="14" customWidth="1"/>
    <col min="22" max="22" width="11.7109375" style="14" bestFit="1" customWidth="1"/>
    <col min="23" max="16384" width="9.7109375" style="14" customWidth="1"/>
  </cols>
  <sheetData>
    <row r="1" spans="1:14" s="13" customFormat="1" ht="14.25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</row>
    <row r="2" spans="1:15" s="13" customFormat="1" ht="61.5" customHeight="1" thickBot="1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14"/>
    </row>
    <row r="3" spans="1:22" s="13" customFormat="1" ht="19.5" customHeight="1">
      <c r="A3" s="15"/>
      <c r="B3" s="16"/>
      <c r="C3" s="16"/>
      <c r="D3" s="16"/>
      <c r="E3" s="16"/>
      <c r="F3" s="16"/>
      <c r="G3" s="16"/>
      <c r="H3" s="16"/>
      <c r="I3" s="17"/>
      <c r="J3" s="369" t="s">
        <v>71</v>
      </c>
      <c r="K3" s="369"/>
      <c r="L3" s="369"/>
      <c r="M3" s="369"/>
      <c r="N3" s="370"/>
      <c r="O3" s="18"/>
      <c r="P3" s="18"/>
      <c r="Q3" s="18"/>
      <c r="R3" s="18"/>
      <c r="S3" s="18"/>
      <c r="T3" s="18"/>
      <c r="U3" s="18"/>
      <c r="V3" s="19"/>
    </row>
    <row r="4" spans="1:22" s="13" customFormat="1" ht="9.75" customHeight="1">
      <c r="A4" s="20"/>
      <c r="B4" s="21"/>
      <c r="C4" s="21"/>
      <c r="D4" s="21"/>
      <c r="E4" s="21"/>
      <c r="F4" s="21"/>
      <c r="G4" s="21"/>
      <c r="H4" s="21"/>
      <c r="I4" s="22"/>
      <c r="J4" s="371"/>
      <c r="K4" s="371"/>
      <c r="L4" s="371"/>
      <c r="M4" s="371"/>
      <c r="N4" s="372"/>
      <c r="O4" s="18"/>
      <c r="P4" s="18"/>
      <c r="Q4" s="18"/>
      <c r="R4" s="18"/>
      <c r="S4" s="18"/>
      <c r="T4" s="18"/>
      <c r="U4" s="18"/>
      <c r="V4" s="19"/>
    </row>
    <row r="5" spans="1:22" s="13" customFormat="1" ht="19.5" customHeight="1">
      <c r="A5" s="20"/>
      <c r="B5" s="21"/>
      <c r="C5" s="21"/>
      <c r="D5" s="21"/>
      <c r="E5" s="21"/>
      <c r="F5" s="21"/>
      <c r="G5" s="21"/>
      <c r="H5" s="21"/>
      <c r="I5" s="22"/>
      <c r="J5" s="23" t="s">
        <v>72</v>
      </c>
      <c r="K5" s="373" t="s">
        <v>90</v>
      </c>
      <c r="L5" s="373"/>
      <c r="M5" s="373"/>
      <c r="N5" s="374"/>
      <c r="O5" s="24"/>
      <c r="P5" s="24"/>
      <c r="Q5" s="24"/>
      <c r="R5" s="24"/>
      <c r="S5" s="24"/>
      <c r="T5" s="24"/>
      <c r="U5" s="24"/>
      <c r="V5" s="19"/>
    </row>
    <row r="6" spans="1:22" s="13" customFormat="1" ht="17.25" customHeight="1">
      <c r="A6" s="20"/>
      <c r="B6" s="21"/>
      <c r="C6" s="21"/>
      <c r="D6" s="21"/>
      <c r="E6" s="21"/>
      <c r="F6" s="21"/>
      <c r="G6" s="21"/>
      <c r="H6" s="21"/>
      <c r="I6" s="22"/>
      <c r="J6" s="25"/>
      <c r="K6" s="375"/>
      <c r="L6" s="375"/>
      <c r="M6" s="375"/>
      <c r="N6" s="376"/>
      <c r="O6" s="24"/>
      <c r="P6" s="24"/>
      <c r="Q6" s="24"/>
      <c r="R6" s="24"/>
      <c r="S6" s="24"/>
      <c r="T6" s="24"/>
      <c r="U6" s="24"/>
      <c r="V6" s="19"/>
    </row>
    <row r="7" spans="1:22" s="13" customFormat="1" ht="33.75" customHeight="1" thickBot="1">
      <c r="A7" s="377" t="s">
        <v>97</v>
      </c>
      <c r="B7" s="378"/>
      <c r="C7" s="378"/>
      <c r="D7" s="378"/>
      <c r="E7" s="378"/>
      <c r="F7" s="378"/>
      <c r="G7" s="378"/>
      <c r="H7" s="378"/>
      <c r="I7" s="379"/>
      <c r="J7" s="26" t="s">
        <v>73</v>
      </c>
      <c r="K7" s="380" t="s">
        <v>89</v>
      </c>
      <c r="L7" s="380"/>
      <c r="M7" s="27"/>
      <c r="N7" s="28"/>
      <c r="O7" s="29"/>
      <c r="P7" s="29"/>
      <c r="Q7" s="29"/>
      <c r="R7" s="29"/>
      <c r="S7" s="30"/>
      <c r="T7" s="31"/>
      <c r="U7" s="32"/>
      <c r="V7" s="19"/>
    </row>
    <row r="8" spans="1:14" s="13" customFormat="1" ht="19.5" customHeight="1" thickBot="1">
      <c r="A8" s="381"/>
      <c r="B8" s="382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3"/>
    </row>
    <row r="9" spans="1:14" s="13" customFormat="1" ht="19.5" customHeight="1">
      <c r="A9" s="385" t="s">
        <v>74</v>
      </c>
      <c r="B9" s="386"/>
      <c r="C9" s="391" t="s">
        <v>75</v>
      </c>
      <c r="D9" s="391"/>
      <c r="E9" s="391"/>
      <c r="F9" s="391"/>
      <c r="G9" s="391"/>
      <c r="H9" s="391"/>
      <c r="I9" s="391"/>
      <c r="J9" s="391"/>
      <c r="K9" s="391"/>
      <c r="L9" s="391"/>
      <c r="M9" s="33"/>
      <c r="N9" s="34"/>
    </row>
    <row r="10" spans="1:14" s="13" customFormat="1" ht="19.5" customHeight="1">
      <c r="A10" s="387"/>
      <c r="B10" s="388"/>
      <c r="C10" s="392" t="s">
        <v>76</v>
      </c>
      <c r="D10" s="392"/>
      <c r="E10" s="392" t="s">
        <v>77</v>
      </c>
      <c r="F10" s="392"/>
      <c r="G10" s="392" t="s">
        <v>78</v>
      </c>
      <c r="H10" s="392"/>
      <c r="I10" s="392" t="s">
        <v>79</v>
      </c>
      <c r="J10" s="392"/>
      <c r="K10" s="392" t="s">
        <v>80</v>
      </c>
      <c r="L10" s="392"/>
      <c r="M10" s="35" t="s">
        <v>81</v>
      </c>
      <c r="N10" s="36"/>
    </row>
    <row r="11" spans="1:14" s="13" customFormat="1" ht="16.5" customHeight="1" thickBot="1">
      <c r="A11" s="389"/>
      <c r="B11" s="390"/>
      <c r="C11" s="37" t="s">
        <v>82</v>
      </c>
      <c r="D11" s="37" t="s">
        <v>83</v>
      </c>
      <c r="E11" s="37" t="s">
        <v>82</v>
      </c>
      <c r="F11" s="37" t="s">
        <v>83</v>
      </c>
      <c r="G11" s="37" t="s">
        <v>82</v>
      </c>
      <c r="H11" s="37" t="s">
        <v>83</v>
      </c>
      <c r="I11" s="37" t="s">
        <v>82</v>
      </c>
      <c r="J11" s="37" t="s">
        <v>83</v>
      </c>
      <c r="K11" s="37" t="s">
        <v>82</v>
      </c>
      <c r="L11" s="37" t="s">
        <v>83</v>
      </c>
      <c r="M11" s="37" t="s">
        <v>84</v>
      </c>
      <c r="N11" s="38" t="s">
        <v>82</v>
      </c>
    </row>
    <row r="12" spans="1:14" s="13" customFormat="1" ht="24" customHeight="1">
      <c r="A12" s="39"/>
      <c r="N12" s="40"/>
    </row>
    <row r="13" spans="1:22" s="13" customFormat="1" ht="31.5" customHeight="1">
      <c r="A13" s="41"/>
      <c r="B13" s="42"/>
      <c r="C13" s="43"/>
      <c r="D13" s="44">
        <f>$M13*C13/100</f>
        <v>0</v>
      </c>
      <c r="E13" s="43"/>
      <c r="F13" s="44">
        <f>$M13*E13/100</f>
        <v>0</v>
      </c>
      <c r="G13" s="43"/>
      <c r="H13" s="44">
        <f aca="true" t="shared" si="0" ref="H13:H18">$M13*G13/100</f>
        <v>0</v>
      </c>
      <c r="I13" s="43"/>
      <c r="J13" s="44">
        <f aca="true" t="shared" si="1" ref="J13:J18">$M13*I13/100</f>
        <v>0</v>
      </c>
      <c r="K13" s="43"/>
      <c r="L13" s="44">
        <f aca="true" t="shared" si="2" ref="L13:L18">$M13*K13/100</f>
        <v>0</v>
      </c>
      <c r="M13" s="45"/>
      <c r="N13" s="46" t="e">
        <f aca="true" t="shared" si="3" ref="N13:N18">(D13+F13+H13+J13+L13)*100/M13</f>
        <v>#DIV/0!</v>
      </c>
      <c r="Q13" s="71">
        <v>53936.05</v>
      </c>
      <c r="R13" s="71"/>
      <c r="V13" s="71">
        <v>53936.05</v>
      </c>
    </row>
    <row r="14" spans="1:22" s="47" customFormat="1" ht="31.5" customHeight="1">
      <c r="A14" s="41"/>
      <c r="B14" s="42"/>
      <c r="C14" s="43"/>
      <c r="D14" s="44">
        <f aca="true" t="shared" si="4" ref="D14:F18">$M14*C14/100</f>
        <v>0</v>
      </c>
      <c r="E14" s="43"/>
      <c r="F14" s="44">
        <f t="shared" si="4"/>
        <v>0</v>
      </c>
      <c r="G14" s="43"/>
      <c r="H14" s="44">
        <f t="shared" si="0"/>
        <v>0</v>
      </c>
      <c r="I14" s="43"/>
      <c r="J14" s="44">
        <f t="shared" si="1"/>
        <v>0</v>
      </c>
      <c r="K14" s="43"/>
      <c r="L14" s="44">
        <f t="shared" si="2"/>
        <v>0</v>
      </c>
      <c r="M14" s="45"/>
      <c r="N14" s="46" t="e">
        <f t="shared" si="3"/>
        <v>#DIV/0!</v>
      </c>
      <c r="Q14" s="72">
        <v>291037.43</v>
      </c>
      <c r="R14" s="72">
        <v>3606.14</v>
      </c>
      <c r="S14" s="47" t="s">
        <v>52</v>
      </c>
      <c r="T14" s="72">
        <f>Q14/R14</f>
        <v>80.70608184929038</v>
      </c>
      <c r="V14" s="72">
        <v>291037.44</v>
      </c>
    </row>
    <row r="15" spans="1:22" s="47" customFormat="1" ht="31.5" customHeight="1">
      <c r="A15" s="41"/>
      <c r="B15" s="42"/>
      <c r="C15" s="43"/>
      <c r="D15" s="44">
        <f t="shared" si="4"/>
        <v>0</v>
      </c>
      <c r="E15" s="43"/>
      <c r="F15" s="44">
        <f t="shared" si="4"/>
        <v>0</v>
      </c>
      <c r="G15" s="43"/>
      <c r="H15" s="44">
        <f t="shared" si="0"/>
        <v>0</v>
      </c>
      <c r="I15" s="43"/>
      <c r="J15" s="44">
        <f t="shared" si="1"/>
        <v>0</v>
      </c>
      <c r="K15" s="43"/>
      <c r="L15" s="44">
        <f t="shared" si="2"/>
        <v>0</v>
      </c>
      <c r="M15" s="45"/>
      <c r="N15" s="46" t="e">
        <f t="shared" si="3"/>
        <v>#DIV/0!</v>
      </c>
      <c r="Q15" s="72">
        <v>608057.64</v>
      </c>
      <c r="R15" s="72">
        <v>10560</v>
      </c>
      <c r="S15" s="47" t="s">
        <v>52</v>
      </c>
      <c r="T15" s="72">
        <f>Q15/R15</f>
        <v>57.58121590909091</v>
      </c>
      <c r="V15" s="72">
        <v>612693.73</v>
      </c>
    </row>
    <row r="16" spans="1:22" s="47" customFormat="1" ht="31.5" customHeight="1">
      <c r="A16" s="41"/>
      <c r="B16" s="42"/>
      <c r="C16" s="43"/>
      <c r="D16" s="44">
        <f t="shared" si="4"/>
        <v>0</v>
      </c>
      <c r="E16" s="43"/>
      <c r="F16" s="44">
        <f t="shared" si="4"/>
        <v>0</v>
      </c>
      <c r="G16" s="43"/>
      <c r="H16" s="44">
        <f t="shared" si="0"/>
        <v>0</v>
      </c>
      <c r="I16" s="43"/>
      <c r="J16" s="44">
        <f t="shared" si="1"/>
        <v>0</v>
      </c>
      <c r="K16" s="43"/>
      <c r="L16" s="44">
        <f t="shared" si="2"/>
        <v>0</v>
      </c>
      <c r="M16" s="45"/>
      <c r="N16" s="46" t="e">
        <f t="shared" si="3"/>
        <v>#DIV/0!</v>
      </c>
      <c r="Q16" s="72">
        <v>13372.600000000002</v>
      </c>
      <c r="R16" s="72">
        <v>3</v>
      </c>
      <c r="S16" s="47" t="s">
        <v>94</v>
      </c>
      <c r="T16" s="72">
        <f>Q16/R16</f>
        <v>4457.533333333334</v>
      </c>
      <c r="V16" s="72">
        <v>15172.37</v>
      </c>
    </row>
    <row r="17" spans="1:22" s="47" customFormat="1" ht="31.5" customHeight="1">
      <c r="A17" s="41"/>
      <c r="B17" s="42"/>
      <c r="C17" s="43"/>
      <c r="D17" s="44">
        <f t="shared" si="4"/>
        <v>0</v>
      </c>
      <c r="E17" s="43"/>
      <c r="F17" s="44">
        <f t="shared" si="4"/>
        <v>0</v>
      </c>
      <c r="G17" s="43"/>
      <c r="H17" s="44">
        <f t="shared" si="0"/>
        <v>0</v>
      </c>
      <c r="I17" s="43"/>
      <c r="J17" s="44">
        <f t="shared" si="1"/>
        <v>0</v>
      </c>
      <c r="K17" s="43"/>
      <c r="L17" s="44">
        <f t="shared" si="2"/>
        <v>0</v>
      </c>
      <c r="M17" s="45"/>
      <c r="N17" s="46" t="e">
        <f t="shared" si="3"/>
        <v>#DIV/0!</v>
      </c>
      <c r="Q17" s="72">
        <v>5605.6</v>
      </c>
      <c r="R17" s="72">
        <v>1</v>
      </c>
      <c r="S17" s="47" t="s">
        <v>95</v>
      </c>
      <c r="T17" s="72">
        <f>Q17/R17</f>
        <v>5605.6</v>
      </c>
      <c r="V17" s="72">
        <v>5605.6</v>
      </c>
    </row>
    <row r="18" spans="1:22" s="47" customFormat="1" ht="31.5" customHeight="1">
      <c r="A18" s="41"/>
      <c r="B18" s="42"/>
      <c r="C18" s="43"/>
      <c r="D18" s="44">
        <f t="shared" si="4"/>
        <v>0</v>
      </c>
      <c r="E18" s="43"/>
      <c r="F18" s="44">
        <f t="shared" si="4"/>
        <v>0</v>
      </c>
      <c r="G18" s="43"/>
      <c r="H18" s="44">
        <f t="shared" si="0"/>
        <v>0</v>
      </c>
      <c r="I18" s="43"/>
      <c r="J18" s="44">
        <f t="shared" si="1"/>
        <v>0</v>
      </c>
      <c r="K18" s="43"/>
      <c r="L18" s="44">
        <f t="shared" si="2"/>
        <v>0</v>
      </c>
      <c r="M18" s="45"/>
      <c r="N18" s="46" t="e">
        <f t="shared" si="3"/>
        <v>#DIV/0!</v>
      </c>
      <c r="Q18" s="72">
        <v>18396.35</v>
      </c>
      <c r="R18" s="72">
        <v>1057</v>
      </c>
      <c r="S18" s="47" t="s">
        <v>96</v>
      </c>
      <c r="T18" s="72">
        <f>Q18/R18</f>
        <v>17.404304635761587</v>
      </c>
      <c r="V18" s="72">
        <v>18396.35</v>
      </c>
    </row>
    <row r="19" spans="1:20" s="13" customFormat="1" ht="10.5" customHeight="1">
      <c r="A19" s="48"/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R19" s="71"/>
      <c r="T19" s="72"/>
    </row>
    <row r="20" spans="1:14" s="13" customFormat="1" ht="15.75" customHeight="1">
      <c r="A20" s="48"/>
      <c r="B20" s="50" t="s">
        <v>85</v>
      </c>
      <c r="C20" s="51" t="e">
        <f>(D20*100)/$M$21</f>
        <v>#DIV/0!</v>
      </c>
      <c r="D20" s="52">
        <f>SUM(D13:D18)</f>
        <v>0</v>
      </c>
      <c r="E20" s="51" t="e">
        <f>(F20*100)/$M$21</f>
        <v>#DIV/0!</v>
      </c>
      <c r="F20" s="52">
        <f>SUM(F13:F18)</f>
        <v>0</v>
      </c>
      <c r="G20" s="51" t="e">
        <f>(H20*100)/$M$21</f>
        <v>#DIV/0!</v>
      </c>
      <c r="H20" s="52">
        <f>SUM(H13:H18)</f>
        <v>0</v>
      </c>
      <c r="I20" s="51" t="e">
        <f>(J20*100)/$M$21</f>
        <v>#DIV/0!</v>
      </c>
      <c r="J20" s="52">
        <f>SUM(J13:J18)</f>
        <v>0</v>
      </c>
      <c r="K20" s="51" t="e">
        <f>(L20*100)/$M$21</f>
        <v>#DIV/0!</v>
      </c>
      <c r="L20" s="52">
        <f>SUM(L13:L18)</f>
        <v>0</v>
      </c>
      <c r="M20" s="396" t="s">
        <v>86</v>
      </c>
      <c r="N20" s="397"/>
    </row>
    <row r="21" spans="1:14" s="13" customFormat="1" ht="15.75" customHeight="1">
      <c r="A21" s="48"/>
      <c r="B21" s="50" t="s">
        <v>87</v>
      </c>
      <c r="C21" s="51" t="e">
        <f>C20</f>
        <v>#DIV/0!</v>
      </c>
      <c r="D21" s="52">
        <f>D20</f>
        <v>0</v>
      </c>
      <c r="E21" s="51" t="e">
        <f aca="true" t="shared" si="5" ref="E21:L21">E20+C21</f>
        <v>#DIV/0!</v>
      </c>
      <c r="F21" s="52">
        <f t="shared" si="5"/>
        <v>0</v>
      </c>
      <c r="G21" s="51" t="e">
        <f t="shared" si="5"/>
        <v>#DIV/0!</v>
      </c>
      <c r="H21" s="52">
        <f t="shared" si="5"/>
        <v>0</v>
      </c>
      <c r="I21" s="51" t="e">
        <f t="shared" si="5"/>
        <v>#DIV/0!</v>
      </c>
      <c r="J21" s="52">
        <f t="shared" si="5"/>
        <v>0</v>
      </c>
      <c r="K21" s="51" t="e">
        <f t="shared" si="5"/>
        <v>#DIV/0!</v>
      </c>
      <c r="L21" s="52">
        <f t="shared" si="5"/>
        <v>0</v>
      </c>
      <c r="M21" s="53">
        <f>SUM(M13:M18)</f>
        <v>0</v>
      </c>
      <c r="N21" s="54" t="e">
        <f>K21</f>
        <v>#DIV/0!</v>
      </c>
    </row>
    <row r="22" s="13" customFormat="1" ht="15.75" customHeight="1"/>
    <row r="23" spans="2:20" s="13" customFormat="1" ht="16.5" customHeight="1">
      <c r="B23" s="55"/>
      <c r="C23" s="398" t="s">
        <v>91</v>
      </c>
      <c r="D23" s="399"/>
      <c r="E23" s="399"/>
      <c r="F23" s="399"/>
      <c r="G23" s="399"/>
      <c r="H23" s="399"/>
      <c r="I23" s="399"/>
      <c r="J23" s="399"/>
      <c r="K23" s="399"/>
      <c r="L23" s="399"/>
      <c r="M23" s="56"/>
      <c r="N23" s="57"/>
      <c r="O23" s="58"/>
      <c r="P23" s="59"/>
      <c r="Q23" s="59"/>
      <c r="R23" s="19"/>
      <c r="S23" s="60"/>
      <c r="T23" s="60"/>
    </row>
    <row r="24" spans="2:20" s="61" customFormat="1" ht="27" customHeight="1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59"/>
      <c r="R24" s="19"/>
      <c r="S24" s="60"/>
      <c r="T24" s="60"/>
    </row>
    <row r="25" spans="2:20" s="13" customFormat="1" ht="28.5" customHeight="1">
      <c r="B25" s="400" t="s">
        <v>88</v>
      </c>
      <c r="C25" s="400"/>
      <c r="D25" s="400"/>
      <c r="E25" s="400"/>
      <c r="F25" s="400"/>
      <c r="G25" s="400"/>
      <c r="H25" s="400"/>
      <c r="I25" s="63"/>
      <c r="J25" s="400" t="s">
        <v>88</v>
      </c>
      <c r="K25" s="400"/>
      <c r="L25" s="400"/>
      <c r="M25" s="400"/>
      <c r="N25" s="63"/>
      <c r="O25" s="62"/>
      <c r="P25" s="62"/>
      <c r="Q25" s="64"/>
      <c r="R25" s="19"/>
      <c r="S25" s="60"/>
      <c r="T25" s="60"/>
    </row>
    <row r="26" spans="2:20" s="61" customFormat="1" ht="28.5" customHeight="1">
      <c r="B26" s="401" t="s">
        <v>92</v>
      </c>
      <c r="C26" s="401"/>
      <c r="D26" s="402"/>
      <c r="E26" s="402"/>
      <c r="F26" s="402"/>
      <c r="G26" s="402"/>
      <c r="H26" s="402"/>
      <c r="I26" s="65"/>
      <c r="J26" s="384" t="s">
        <v>93</v>
      </c>
      <c r="K26" s="384"/>
      <c r="L26" s="384"/>
      <c r="M26" s="384"/>
      <c r="N26" s="62"/>
      <c r="O26" s="62"/>
      <c r="P26" s="62"/>
      <c r="Q26" s="64"/>
      <c r="R26" s="19">
        <f>0.375*17</f>
        <v>6.375</v>
      </c>
      <c r="S26" s="60"/>
      <c r="T26" s="60"/>
    </row>
    <row r="27" spans="2:14" s="13" customFormat="1" ht="15.75" customHeight="1">
      <c r="B27" s="393"/>
      <c r="C27" s="393"/>
      <c r="D27" s="393"/>
      <c r="E27" s="65"/>
      <c r="F27" s="65"/>
      <c r="G27" s="65"/>
      <c r="H27" s="65"/>
      <c r="I27" s="65"/>
      <c r="J27" s="65"/>
      <c r="K27" s="65"/>
      <c r="L27" s="39"/>
      <c r="M27" s="66"/>
      <c r="N27" s="66"/>
    </row>
    <row r="28" spans="2:14" s="13" customFormat="1" ht="26.25" customHeight="1">
      <c r="B28" s="67"/>
      <c r="C28" s="67"/>
      <c r="D28" s="67"/>
      <c r="E28" s="68"/>
      <c r="F28" s="67"/>
      <c r="G28" s="68"/>
      <c r="H28" s="67"/>
      <c r="I28" s="68"/>
      <c r="J28" s="394"/>
      <c r="K28" s="394"/>
      <c r="L28" s="394"/>
      <c r="M28" s="395"/>
      <c r="N28" s="395"/>
    </row>
    <row r="29" s="13" customFormat="1" ht="15.75" customHeight="1"/>
    <row r="30" s="13" customFormat="1" ht="14.25"/>
    <row r="31" s="13" customFormat="1" ht="15.75" customHeight="1"/>
    <row r="32" s="13" customFormat="1" ht="15.75" customHeight="1"/>
    <row r="33" s="13" customFormat="1" ht="15.75" customHeight="1"/>
    <row r="34" s="13" customFormat="1" ht="15.75" customHeight="1"/>
    <row r="35" s="13" customFormat="1" ht="48" customHeight="1"/>
    <row r="36" s="13" customFormat="1" ht="7.5" customHeight="1"/>
    <row r="37" s="13" customFormat="1" ht="14.25"/>
    <row r="38" spans="1:14" s="13" customFormat="1" ht="60" customHeight="1">
      <c r="A38" s="69"/>
      <c r="B38" s="47"/>
      <c r="C38" s="69"/>
      <c r="D38" s="47"/>
      <c r="E38" s="69"/>
      <c r="F38" s="47"/>
      <c r="G38" s="69"/>
      <c r="H38" s="47"/>
      <c r="I38" s="69"/>
      <c r="J38" s="47"/>
      <c r="K38" s="47"/>
      <c r="L38" s="47"/>
      <c r="M38" s="47"/>
      <c r="N38" s="47"/>
    </row>
    <row r="39" spans="1:14" s="13" customFormat="1" ht="40.5" customHeight="1">
      <c r="A39" s="69"/>
      <c r="B39" s="47"/>
      <c r="C39" s="69"/>
      <c r="D39" s="47"/>
      <c r="E39" s="69"/>
      <c r="F39" s="47"/>
      <c r="G39" s="69"/>
      <c r="H39" s="47"/>
      <c r="I39" s="69"/>
      <c r="J39" s="47"/>
      <c r="K39" s="47"/>
      <c r="L39" s="47"/>
      <c r="M39" s="47"/>
      <c r="N39" s="47"/>
    </row>
    <row r="40" spans="1:9" s="47" customFormat="1" ht="15.75">
      <c r="A40" s="69"/>
      <c r="C40" s="69"/>
      <c r="E40" s="69"/>
      <c r="G40" s="69"/>
      <c r="I40" s="69"/>
    </row>
    <row r="41" spans="1:14" ht="15.75">
      <c r="A41" s="69"/>
      <c r="B41" s="47"/>
      <c r="C41" s="69"/>
      <c r="D41" s="47"/>
      <c r="E41" s="69"/>
      <c r="F41" s="47"/>
      <c r="G41" s="69"/>
      <c r="H41" s="47"/>
      <c r="I41" s="69"/>
      <c r="J41" s="47"/>
      <c r="K41" s="47"/>
      <c r="L41" s="47"/>
      <c r="M41" s="47"/>
      <c r="N41" s="47"/>
    </row>
    <row r="42" spans="1:14" ht="15.75">
      <c r="A42" s="69"/>
      <c r="B42" s="47"/>
      <c r="C42" s="69"/>
      <c r="D42" s="47"/>
      <c r="E42" s="69"/>
      <c r="F42" s="47"/>
      <c r="G42" s="69"/>
      <c r="H42" s="47"/>
      <c r="I42" s="69"/>
      <c r="J42" s="47"/>
      <c r="K42" s="47"/>
      <c r="L42" s="47"/>
      <c r="M42" s="47"/>
      <c r="N42" s="47"/>
    </row>
    <row r="43" spans="1:14" ht="15.75">
      <c r="A43" s="69"/>
      <c r="B43" s="47"/>
      <c r="C43" s="69"/>
      <c r="D43" s="47"/>
      <c r="E43" s="69"/>
      <c r="F43" s="47"/>
      <c r="G43" s="69"/>
      <c r="H43" s="47"/>
      <c r="I43" s="69"/>
      <c r="J43" s="47"/>
      <c r="K43" s="47"/>
      <c r="L43" s="47"/>
      <c r="M43" s="47"/>
      <c r="N43" s="47"/>
    </row>
    <row r="44" spans="1:14" ht="15.75">
      <c r="A44" s="69"/>
      <c r="B44" s="47"/>
      <c r="C44" s="69"/>
      <c r="D44" s="47"/>
      <c r="E44" s="69"/>
      <c r="F44" s="47"/>
      <c r="G44" s="69"/>
      <c r="H44" s="47"/>
      <c r="I44" s="69"/>
      <c r="J44" s="47"/>
      <c r="K44" s="47"/>
      <c r="L44" s="47"/>
      <c r="M44" s="47"/>
      <c r="N44" s="47"/>
    </row>
    <row r="45" spans="1:14" ht="15.75">
      <c r="A45" s="69"/>
      <c r="B45" s="47"/>
      <c r="C45" s="69"/>
      <c r="D45" s="47"/>
      <c r="E45" s="69"/>
      <c r="F45" s="47"/>
      <c r="G45" s="69"/>
      <c r="H45" s="47"/>
      <c r="I45" s="69"/>
      <c r="J45" s="47"/>
      <c r="K45" s="47"/>
      <c r="L45" s="47"/>
      <c r="M45" s="47"/>
      <c r="N45" s="47"/>
    </row>
    <row r="46" spans="1:14" ht="15.75">
      <c r="A46" s="69"/>
      <c r="B46" s="13"/>
      <c r="C46" s="69"/>
      <c r="D46" s="13"/>
      <c r="E46" s="69"/>
      <c r="F46" s="13"/>
      <c r="G46" s="69"/>
      <c r="H46" s="13"/>
      <c r="I46" s="69"/>
      <c r="J46" s="13"/>
      <c r="K46" s="13"/>
      <c r="L46" s="13"/>
      <c r="M46" s="13"/>
      <c r="N46" s="13"/>
    </row>
    <row r="47" spans="1:14" ht="15.75">
      <c r="A47" s="69"/>
      <c r="B47" s="13"/>
      <c r="C47" s="69"/>
      <c r="D47" s="13"/>
      <c r="E47" s="69"/>
      <c r="F47" s="13"/>
      <c r="G47" s="69"/>
      <c r="H47" s="13"/>
      <c r="I47" s="69"/>
      <c r="J47" s="13"/>
      <c r="K47" s="13"/>
      <c r="L47" s="13"/>
      <c r="M47" s="13"/>
      <c r="N47" s="13"/>
    </row>
    <row r="48" spans="1:14" ht="15.75">
      <c r="A48" s="69"/>
      <c r="B48" s="13"/>
      <c r="C48" s="69"/>
      <c r="D48" s="13"/>
      <c r="E48" s="69"/>
      <c r="F48" s="13"/>
      <c r="G48" s="69"/>
      <c r="H48" s="13"/>
      <c r="I48" s="69"/>
      <c r="J48" s="13"/>
      <c r="K48" s="13"/>
      <c r="L48" s="13"/>
      <c r="M48" s="13"/>
      <c r="N48" s="13"/>
    </row>
    <row r="49" spans="1:14" ht="15.75">
      <c r="A49" s="69"/>
      <c r="B49" s="13"/>
      <c r="C49" s="69"/>
      <c r="D49" s="13"/>
      <c r="E49" s="69"/>
      <c r="F49" s="13"/>
      <c r="G49" s="69"/>
      <c r="H49" s="13"/>
      <c r="I49" s="69"/>
      <c r="J49" s="13"/>
      <c r="K49" s="13"/>
      <c r="L49" s="13"/>
      <c r="M49" s="13"/>
      <c r="N49" s="13"/>
    </row>
    <row r="50" spans="1:14" ht="15.75">
      <c r="A50" s="69"/>
      <c r="B50" s="13"/>
      <c r="C50" s="69"/>
      <c r="D50" s="13"/>
      <c r="E50" s="69"/>
      <c r="F50" s="13"/>
      <c r="G50" s="69"/>
      <c r="H50" s="13"/>
      <c r="I50" s="69"/>
      <c r="J50" s="13"/>
      <c r="K50" s="13"/>
      <c r="L50" s="13"/>
      <c r="M50" s="13"/>
      <c r="N50" s="13"/>
    </row>
    <row r="51" spans="1:14" ht="15.75">
      <c r="A51" s="69"/>
      <c r="B51" s="13"/>
      <c r="C51" s="69"/>
      <c r="D51" s="13"/>
      <c r="E51" s="69"/>
      <c r="F51" s="13"/>
      <c r="G51" s="69"/>
      <c r="H51" s="13"/>
      <c r="I51" s="69"/>
      <c r="J51" s="13"/>
      <c r="K51" s="13"/>
      <c r="L51" s="13"/>
      <c r="M51" s="13"/>
      <c r="N51" s="13"/>
    </row>
    <row r="52" spans="1:14" ht="15.75">
      <c r="A52" s="69"/>
      <c r="B52" s="13"/>
      <c r="C52" s="69"/>
      <c r="D52" s="13"/>
      <c r="E52" s="69"/>
      <c r="F52" s="13"/>
      <c r="G52" s="69"/>
      <c r="H52" s="13"/>
      <c r="I52" s="69"/>
      <c r="J52" s="13"/>
      <c r="K52" s="13"/>
      <c r="L52" s="13"/>
      <c r="M52" s="13"/>
      <c r="N52" s="13"/>
    </row>
    <row r="53" spans="1:14" ht="15.75">
      <c r="A53" s="69"/>
      <c r="B53" s="13"/>
      <c r="C53" s="69"/>
      <c r="D53" s="13"/>
      <c r="E53" s="69"/>
      <c r="F53" s="13"/>
      <c r="G53" s="69"/>
      <c r="H53" s="13"/>
      <c r="I53" s="69"/>
      <c r="J53" s="13"/>
      <c r="K53" s="13"/>
      <c r="L53" s="13"/>
      <c r="M53" s="13"/>
      <c r="N53" s="13"/>
    </row>
    <row r="54" spans="1:14" ht="15.75">
      <c r="A54" s="69"/>
      <c r="B54" s="13"/>
      <c r="C54" s="69"/>
      <c r="D54" s="13"/>
      <c r="E54" s="69"/>
      <c r="F54" s="13"/>
      <c r="G54" s="69"/>
      <c r="H54" s="13"/>
      <c r="I54" s="69"/>
      <c r="J54" s="13"/>
      <c r="K54" s="13"/>
      <c r="L54" s="13"/>
      <c r="M54" s="13"/>
      <c r="N54" s="13"/>
    </row>
    <row r="55" spans="1:14" ht="15.75">
      <c r="A55" s="69"/>
      <c r="B55" s="13"/>
      <c r="C55" s="69"/>
      <c r="D55" s="13"/>
      <c r="E55" s="69"/>
      <c r="F55" s="13"/>
      <c r="G55" s="69"/>
      <c r="H55" s="13"/>
      <c r="I55" s="69"/>
      <c r="J55" s="13"/>
      <c r="K55" s="13"/>
      <c r="L55" s="13"/>
      <c r="M55" s="13"/>
      <c r="N55" s="13"/>
    </row>
    <row r="56" spans="1:14" ht="15.75">
      <c r="A56" s="69"/>
      <c r="B56" s="13"/>
      <c r="C56" s="69"/>
      <c r="D56" s="13"/>
      <c r="E56" s="69"/>
      <c r="F56" s="13"/>
      <c r="G56" s="69"/>
      <c r="H56" s="13"/>
      <c r="I56" s="69"/>
      <c r="J56" s="13"/>
      <c r="K56" s="13"/>
      <c r="L56" s="13"/>
      <c r="M56" s="13"/>
      <c r="N56" s="13"/>
    </row>
    <row r="57" spans="1:14" ht="15.75">
      <c r="A57" s="69"/>
      <c r="B57" s="13"/>
      <c r="C57" s="69"/>
      <c r="D57" s="13"/>
      <c r="E57" s="69"/>
      <c r="F57" s="13"/>
      <c r="G57" s="69"/>
      <c r="H57" s="13"/>
      <c r="I57" s="69"/>
      <c r="J57" s="13"/>
      <c r="K57" s="13"/>
      <c r="L57" s="13"/>
      <c r="M57" s="13"/>
      <c r="N57" s="13"/>
    </row>
    <row r="58" spans="1:14" ht="15.75">
      <c r="A58" s="69"/>
      <c r="B58" s="13"/>
      <c r="C58" s="69"/>
      <c r="D58" s="13"/>
      <c r="E58" s="69"/>
      <c r="F58" s="13"/>
      <c r="G58" s="69"/>
      <c r="H58" s="13"/>
      <c r="I58" s="69"/>
      <c r="J58" s="13"/>
      <c r="K58" s="13"/>
      <c r="L58" s="13"/>
      <c r="M58" s="13"/>
      <c r="N58" s="13"/>
    </row>
    <row r="59" spans="1:14" ht="15.75">
      <c r="A59" s="69"/>
      <c r="B59" s="13"/>
      <c r="C59" s="69"/>
      <c r="D59" s="13"/>
      <c r="E59" s="69"/>
      <c r="F59" s="13"/>
      <c r="G59" s="69"/>
      <c r="H59" s="13"/>
      <c r="I59" s="69"/>
      <c r="J59" s="13"/>
      <c r="K59" s="13"/>
      <c r="L59" s="13"/>
      <c r="M59" s="13"/>
      <c r="N59" s="13"/>
    </row>
    <row r="60" spans="1:14" ht="15.75">
      <c r="A60" s="69"/>
      <c r="B60" s="13"/>
      <c r="C60" s="69"/>
      <c r="D60" s="13"/>
      <c r="E60" s="69"/>
      <c r="F60" s="13"/>
      <c r="G60" s="69"/>
      <c r="H60" s="13"/>
      <c r="I60" s="69"/>
      <c r="J60" s="13"/>
      <c r="K60" s="13"/>
      <c r="L60" s="13"/>
      <c r="M60" s="13"/>
      <c r="N60" s="13"/>
    </row>
    <row r="61" spans="1:14" ht="15.75">
      <c r="A61" s="69"/>
      <c r="B61" s="13"/>
      <c r="C61" s="69"/>
      <c r="D61" s="13"/>
      <c r="E61" s="69"/>
      <c r="F61" s="13"/>
      <c r="G61" s="69"/>
      <c r="H61" s="13"/>
      <c r="I61" s="69"/>
      <c r="J61" s="13"/>
      <c r="K61" s="13"/>
      <c r="L61" s="13"/>
      <c r="M61" s="13"/>
      <c r="N61" s="13"/>
    </row>
    <row r="62" spans="1:14" ht="15.75">
      <c r="A62" s="69"/>
      <c r="B62" s="13"/>
      <c r="C62" s="69"/>
      <c r="D62" s="13"/>
      <c r="E62" s="69"/>
      <c r="F62" s="13"/>
      <c r="G62" s="69"/>
      <c r="H62" s="13"/>
      <c r="I62" s="69"/>
      <c r="J62" s="13"/>
      <c r="K62" s="13"/>
      <c r="L62" s="13"/>
      <c r="M62" s="13"/>
      <c r="N62" s="13"/>
    </row>
    <row r="63" spans="1:14" ht="14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</row>
    <row r="64" spans="1:14" ht="14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</row>
    <row r="65" spans="1:14" ht="14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</row>
    <row r="66" spans="1:14" ht="14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</row>
    <row r="67" spans="1:14" ht="15.75">
      <c r="A67" s="69"/>
      <c r="B67" s="47"/>
      <c r="C67" s="69"/>
      <c r="D67" s="47"/>
      <c r="E67" s="69"/>
      <c r="F67" s="47"/>
      <c r="G67" s="69"/>
      <c r="H67" s="47"/>
      <c r="I67" s="69"/>
      <c r="J67" s="47"/>
      <c r="K67" s="47"/>
      <c r="L67" s="47"/>
      <c r="M67" s="47"/>
      <c r="N67" s="47"/>
    </row>
  </sheetData>
  <sheetProtection/>
  <mergeCells count="24">
    <mergeCell ref="B27:D27"/>
    <mergeCell ref="J28:L28"/>
    <mergeCell ref="M28:N28"/>
    <mergeCell ref="M20:N20"/>
    <mergeCell ref="C23:L23"/>
    <mergeCell ref="B25:C25"/>
    <mergeCell ref="D25:H25"/>
    <mergeCell ref="J25:M25"/>
    <mergeCell ref="B26:C26"/>
    <mergeCell ref="D26:H26"/>
    <mergeCell ref="J26:M26"/>
    <mergeCell ref="A9:B11"/>
    <mergeCell ref="C9:L9"/>
    <mergeCell ref="C10:D10"/>
    <mergeCell ref="E10:F10"/>
    <mergeCell ref="G10:H10"/>
    <mergeCell ref="I10:J10"/>
    <mergeCell ref="K10:L10"/>
    <mergeCell ref="A1:N2"/>
    <mergeCell ref="J3:N4"/>
    <mergeCell ref="K5:N6"/>
    <mergeCell ref="A7:I7"/>
    <mergeCell ref="K7:L7"/>
    <mergeCell ref="A8:N8"/>
  </mergeCells>
  <printOptions horizontalCentered="1" verticalCentered="1"/>
  <pageMargins left="0.3937007874015748" right="0.3937007874015748" top="1.1811023622047245" bottom="0.984251968503937" header="0.7874015748031497" footer="0.5905511811023623"/>
  <pageSetup fitToHeight="1" fitToWidth="1"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2" sqref="A12:J12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DAER</dc:creator>
  <cp:keywords/>
  <dc:description/>
  <cp:lastModifiedBy>User</cp:lastModifiedBy>
  <cp:lastPrinted>2020-06-30T14:10:14Z</cp:lastPrinted>
  <dcterms:created xsi:type="dcterms:W3CDTF">2017-07-19T20:38:50Z</dcterms:created>
  <dcterms:modified xsi:type="dcterms:W3CDTF">2020-12-08T15:08:30Z</dcterms:modified>
  <cp:category/>
  <cp:version/>
  <cp:contentType/>
  <cp:contentStatus/>
</cp:coreProperties>
</file>