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. Coleta Domiciliar" sheetId="1" r:id="rId1"/>
    <sheet name="2.Encargos Sociais" sheetId="2" r:id="rId2"/>
    <sheet name="3.CAGED" sheetId="3" r:id="rId3"/>
    <sheet name="4.BDI" sheetId="4" r:id="rId4"/>
    <sheet name="6.Remuneração de capital" sheetId="5" r:id="rId5"/>
    <sheet name="5. Depreciação" sheetId="6" r:id="rId6"/>
    <sheet name="7. Dimensionamento" sheetId="7" r:id="rId7"/>
  </sheets>
  <definedNames>
    <definedName name="_xlfn.IFERROR" hidden="1">#NAME?</definedName>
    <definedName name="AbaDeprec">'5. Depreciação'!$A$1</definedName>
    <definedName name="AbaRemun">'6.Remuneração de capital'!$A$1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color rgb="FF000000"/>
            <rFont val="Arial"/>
            <family val="0"/>
          </rPr>
          <t xml:space="preserve">Qualquer custo previsto no edital e não contemplado nesta planilha modelo deverá ser devidamente incluído
</t>
        </r>
      </text>
    </comment>
    <comment ref="B48" authorId="0">
      <text>
        <r>
          <rPr>
            <sz val="10"/>
            <color rgb="FF000000"/>
            <rFont val="Arial"/>
            <family val="0"/>
          </rPr>
          <t xml:space="preserve">Informar o fator de utilização das equipes de coleta. 
Por exemplo:
Equipes com utilização integral = 100%
Equipes com utilização parcial = n° horas trabalhadas por semana /44 horas
</t>
        </r>
      </text>
    </comment>
    <comment ref="D54" authorId="0">
      <text>
        <r>
          <rPr>
            <sz val="10"/>
            <color rgb="FF000000"/>
            <rFont val="Arial"/>
            <family val="0"/>
          </rPr>
          <t>Informar o Piso da categoria fixado na Convenção Coletiva</t>
        </r>
      </text>
    </comment>
    <comment ref="C57" authorId="0">
      <text>
        <r>
          <rPr>
            <sz val="10"/>
            <color rgb="FF000000"/>
            <rFont val="Arial"/>
            <family val="0"/>
          </rPr>
          <t xml:space="preserve">Preencher a planilha Encargos Sociais e CAGED </t>
        </r>
      </text>
    </comment>
    <comment ref="C59" authorId="0">
      <text>
        <r>
          <rPr>
            <sz val="10"/>
            <color rgb="FF000000"/>
            <rFont val="Arial"/>
            <family val="0"/>
          </rPr>
          <t>Informar a quantidade de trabalhadores na função</t>
        </r>
      </text>
    </comment>
    <comment ref="C65" authorId="0">
      <text>
        <r>
          <rPr>
            <sz val="10"/>
            <color rgb="FF000000"/>
            <rFont val="Arial"/>
            <family val="0"/>
          </rPr>
          <t>Informar o número de horas noturnas trabalhadas no intervalo das 22:00h as 5:00h</t>
        </r>
      </text>
    </comment>
    <comment ref="C69" authorId="0">
      <text>
        <r>
          <rPr>
            <sz val="10"/>
            <color rgb="FF000000"/>
            <rFont val="Arial"/>
            <family val="0"/>
          </rPr>
          <t xml:space="preserve">Preencher a planilha Encargos Sociais e CAGED </t>
        </r>
      </text>
    </comment>
    <comment ref="C71" authorId="0">
      <text>
        <r>
          <rPr>
            <sz val="10"/>
            <color rgb="FF000000"/>
            <rFont val="Arial"/>
            <family val="0"/>
          </rPr>
          <t>Informar a quantidade de trabalhadores na função</t>
        </r>
      </text>
    </comment>
    <comment ref="D76" authorId="0">
      <text>
        <r>
          <rPr>
            <sz val="10"/>
            <color rgb="FF000000"/>
            <rFont val="Arial"/>
            <family val="0"/>
          </rPr>
          <t>Informar o Piso da categoria fixado na Convenção Coletiva</t>
        </r>
      </text>
    </comment>
    <comment ref="D77" authorId="0">
      <text>
        <r>
          <rPr>
            <sz val="10"/>
            <color rgb="FF000000"/>
            <rFont val="Arial"/>
            <family val="0"/>
          </rPr>
          <t>Informar o valor do salário Mínimo Nacional</t>
        </r>
      </text>
    </comment>
    <comment ref="C78" authorId="0">
      <text>
        <r>
          <rPr>
            <sz val="10"/>
            <color rgb="FF000000"/>
            <rFont val="Arial"/>
            <family val="0"/>
          </rPr>
          <t xml:space="preserve">Informar 1 se a base de cálculo for o Salário Mínimo Nacional; Informar 2 se a base de cálculo for o Piso da Categoria; 
</t>
        </r>
      </text>
    </comment>
    <comment ref="C79" authorId="0">
      <text>
        <r>
          <rPr>
            <sz val="10"/>
            <color rgb="FF000000"/>
            <rFont val="Arial"/>
            <family val="0"/>
          </rPr>
          <t>Percentual estabelecido nas Normas de Segurança de Trabalho ou pelo laudo de responsável técnico devidamente habilitado</t>
        </r>
      </text>
    </comment>
    <comment ref="C81" authorId="0">
      <text>
        <r>
          <rPr>
            <sz val="10"/>
            <color rgb="FF000000"/>
            <rFont val="Arial"/>
            <family val="0"/>
          </rPr>
          <t xml:space="preserve">Preencher a planilha Encargos Sociais e CAGED </t>
        </r>
      </text>
    </comment>
    <comment ref="C83" authorId="0">
      <text>
        <r>
          <rPr>
            <sz val="10"/>
            <color rgb="FF000000"/>
            <rFont val="Arial"/>
            <family val="0"/>
          </rPr>
          <t>Informar a quantidade de trabalhadores na função</t>
        </r>
      </text>
    </comment>
    <comment ref="C90" authorId="0">
      <text>
        <r>
          <rPr>
            <sz val="10"/>
            <color rgb="FF000000"/>
            <rFont val="Arial"/>
            <family val="0"/>
          </rPr>
          <t>Informar o número de horas noturnas trabalhadas no intervalo das 22:00h as 5:00h</t>
        </r>
      </text>
    </comment>
    <comment ref="C92" authorId="0">
      <text>
        <r>
          <rPr>
            <sz val="10"/>
            <color rgb="FF000000"/>
            <rFont val="Arial"/>
            <family val="0"/>
          </rPr>
          <t xml:space="preserve">Informar 1 se a base de cálculo for o Salário Mínimo Nacional; Informar 2 se a base de cálculo for o Piso da Categoria; 
</t>
        </r>
      </text>
    </comment>
    <comment ref="C95" authorId="0">
      <text>
        <r>
          <rPr>
            <sz val="10"/>
            <color rgb="FF000000"/>
            <rFont val="Arial"/>
            <family val="0"/>
          </rPr>
          <t xml:space="preserve">Preencher a planilha Encargos Sociais e CAGED </t>
        </r>
      </text>
    </comment>
    <comment ref="C97" authorId="0">
      <text>
        <r>
          <rPr>
            <sz val="10"/>
            <color rgb="FF000000"/>
            <rFont val="Arial"/>
            <family val="0"/>
          </rPr>
          <t>Informar a quantidade de trabalhadores na função</t>
        </r>
      </text>
    </comment>
    <comment ref="D102" authorId="0">
      <text>
        <r>
          <rPr>
            <sz val="10"/>
            <color rgb="FF000000"/>
            <rFont val="Arial"/>
            <family val="0"/>
          </rPr>
          <t>Informar o valor unitário do VT no município</t>
        </r>
      </text>
    </comment>
    <comment ref="C103" authorId="0">
      <text>
        <r>
          <rPr>
            <sz val="10"/>
            <color rgb="FF000000"/>
            <rFont val="Arial"/>
            <family val="0"/>
          </rPr>
          <t>Informar o número médio de dias trabalhados por mês</t>
        </r>
      </text>
    </comment>
    <comment ref="D104" authorId="0">
      <text>
        <r>
          <rPr>
            <sz val="10"/>
            <color rgb="FF000000"/>
            <rFont val="Arial"/>
            <family val="0"/>
          </rPr>
          <t>Valor Unitário considerando o desconto legal de até 6% do salário</t>
        </r>
      </text>
    </comment>
    <comment ref="D105" authorId="0">
      <text>
        <r>
          <rPr>
            <sz val="10"/>
            <color rgb="FF000000"/>
            <rFont val="Arial"/>
            <family val="0"/>
          </rPr>
          <t xml:space="preserve">Valor Unitário considerando o desconto legal de até 6% do salário
</t>
        </r>
      </text>
    </comment>
    <comment ref="D112" authorId="0">
      <text>
        <r>
          <rPr>
            <sz val="10"/>
            <color rgb="FF000000"/>
            <rFont val="Arial"/>
            <family val="0"/>
          </rPr>
          <t>Informar o valor unitário diário do vale refeição conforme Convenção Coletiva da categoria</t>
        </r>
      </text>
    </comment>
    <comment ref="D113" authorId="0">
      <text>
        <r>
          <rPr>
            <sz val="10"/>
            <color rgb="FF000000"/>
            <rFont val="Arial"/>
            <family val="0"/>
          </rPr>
          <t>Informar o valor unitário diário do vale refeição conforme Convenção Coletiva da categoria</t>
        </r>
      </text>
    </comment>
    <comment ref="D118" authorId="0">
      <text>
        <r>
          <rPr>
            <sz val="10"/>
            <color rgb="FF000000"/>
            <rFont val="Arial"/>
            <family val="0"/>
          </rPr>
          <t>Informar o valor mensal do auxilio alimentação conforme Convenção Coletiva da categoria</t>
        </r>
      </text>
    </comment>
    <comment ref="D119" authorId="0">
      <text>
        <r>
          <rPr>
            <sz val="10"/>
            <color rgb="FF000000"/>
            <rFont val="Arial"/>
            <family val="0"/>
          </rPr>
          <t>Informar o valor mensal do auxilio alimentação conforme Convenção Coletiva da categoria</t>
        </r>
      </text>
    </comment>
    <comment ref="C129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29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C130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30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C131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31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C132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32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C133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33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C134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34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C135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35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C136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36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C137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37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C138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38" authorId="0">
      <text>
        <r>
          <rPr>
            <sz val="10"/>
            <color rgb="FF000000"/>
            <rFont val="Arial"/>
            <family val="0"/>
          </rPr>
          <t>Informar o valor unitário estimado para aquisição de cada EPI</t>
        </r>
      </text>
    </comment>
    <comment ref="D139" authorId="0">
      <text>
        <r>
          <rPr>
            <sz val="10"/>
            <color rgb="FF000000"/>
            <rFont val="Arial"/>
            <family val="0"/>
          </rPr>
          <t>Informar o valor mensal de higienização de uniforme para 1 funcionário</t>
        </r>
      </text>
    </comment>
    <comment ref="C146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C147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C148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C149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C150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C151" authorId="0">
      <text>
        <r>
          <rPr>
            <sz val="10"/>
            <color rgb="FF000000"/>
            <rFont val="Arial"/>
            <family val="0"/>
          </rPr>
          <t xml:space="preserve">Informar a durabilidade estimada em meses, para cada EPI
</t>
        </r>
      </text>
    </comment>
    <comment ref="D152" authorId="0">
      <text>
        <r>
          <rPr>
            <sz val="10"/>
            <color rgb="FF000000"/>
            <rFont val="Arial"/>
            <family val="0"/>
          </rPr>
          <t>Informar o valor mensal de higienização de uniforme para 1 funcionário</t>
        </r>
      </text>
    </comment>
    <comment ref="D164" authorId="0">
      <text>
        <r>
          <rPr>
            <sz val="10"/>
            <color rgb="FF000000"/>
            <rFont val="Arial"/>
            <family val="0"/>
          </rPr>
          <t>Informar o preço unitário do chassis do caminhão de coleta</t>
        </r>
      </text>
    </comment>
    <comment ref="C165" authorId="0">
      <text>
        <r>
          <rPr>
            <sz val="10"/>
            <color rgb="FF000000"/>
            <rFont val="Arial"/>
            <family val="0"/>
          </rPr>
          <t>Informar a vida útil estimada para o caminhão, em anos</t>
        </r>
      </text>
    </comment>
    <comment ref="C166" authorId="0">
      <text>
        <r>
          <rPr>
            <sz val="10"/>
            <color rgb="FF000000"/>
            <rFont val="Arial"/>
            <family val="0"/>
          </rPr>
          <t>Na elaboração do orçamento-base da licitação, informar 0 (zero). Na proposta da licitante, informar a idade do veículo proposto.</t>
        </r>
      </text>
    </comment>
    <comment ref="D169" authorId="0">
      <text>
        <r>
          <rPr>
            <sz val="10"/>
            <color rgb="FF000000"/>
            <rFont val="Arial"/>
            <family val="0"/>
          </rPr>
          <t xml:space="preserve">Informar o preço unitário do equipamento compactador
</t>
        </r>
      </text>
    </comment>
    <comment ref="C170" authorId="0">
      <text>
        <r>
          <rPr>
            <sz val="10"/>
            <color rgb="FF000000"/>
            <rFont val="Arial"/>
            <family val="0"/>
          </rPr>
          <t>Informar a vida útil estimada para o compactador, em anos</t>
        </r>
      </text>
    </comment>
    <comment ref="C171" authorId="0">
      <text>
        <r>
          <rPr>
            <sz val="10"/>
            <color rgb="FF000000"/>
            <rFont val="Arial"/>
            <family val="0"/>
          </rPr>
          <t>Na elaboração do orçamento-base da licitação, informar 0 (zero). Na proposta da licitante, informar a idade do compactador proposto.</t>
        </r>
      </text>
    </comment>
    <comment ref="C175" authorId="0">
      <text>
        <r>
          <rPr>
            <sz val="10"/>
            <color rgb="FF000000"/>
            <rFont val="Arial"/>
            <family val="0"/>
          </rPr>
          <t>Informar a quantidade de caminhões compactadores do respectivo modelo</t>
        </r>
      </text>
    </comment>
    <comment ref="C181" authorId="0">
      <text>
        <r>
          <rPr>
            <sz val="10"/>
            <color rgb="FF000000"/>
            <rFont val="Arial"/>
            <family val="0"/>
          </rPr>
          <t xml:space="preserve">Informar a taxa de juros anual para remuneração do capital. Recomenda-se o uso da Taxa SELIC
</t>
        </r>
      </text>
    </comment>
    <comment ref="D197" authorId="0">
      <text>
        <r>
          <rPr>
            <sz val="10"/>
            <color rgb="FF000000"/>
            <rFont val="Arial"/>
            <family val="0"/>
          </rPr>
          <t xml:space="preserve">Informar o valor do seguro obrigatório e licenciamento anual de um caminhão
</t>
        </r>
      </text>
    </comment>
    <comment ref="D198" authorId="0">
      <text>
        <r>
          <rPr>
            <sz val="10"/>
            <color rgb="FF000000"/>
            <rFont val="Arial"/>
            <family val="0"/>
          </rPr>
          <t xml:space="preserve">Informar o valor do seguro contra terceiros de um caminhão, se houver
</t>
        </r>
      </text>
    </comment>
    <comment ref="B204" authorId="0">
      <text>
        <r>
          <rPr>
            <sz val="10"/>
            <color rgb="FF000000"/>
            <rFont val="Arial"/>
            <family val="0"/>
          </rPr>
          <t xml:space="preserve">Informar a quilometragem mensal percorrida, de acordo com o projeto básico
</t>
        </r>
      </text>
    </comment>
    <comment ref="C207" authorId="0">
      <text>
        <r>
          <rPr>
            <sz val="10"/>
            <color rgb="FF000000"/>
            <rFont val="Arial"/>
            <family val="0"/>
          </rPr>
          <t>Informar o consumo estimado do veículo em km/l</t>
        </r>
      </text>
    </comment>
    <comment ref="D207" authorId="0">
      <text>
        <r>
          <rPr>
            <sz val="10"/>
            <color rgb="FF000000"/>
            <rFont val="Arial"/>
            <family val="0"/>
          </rPr>
          <t xml:space="preserve">Informar o preço unitário do combustivel
</t>
        </r>
      </text>
    </comment>
    <comment ref="C209" authorId="0">
      <text>
        <r>
          <rPr>
            <sz val="10"/>
            <color rgb="FF000000"/>
            <rFont val="Arial"/>
            <family val="0"/>
          </rPr>
          <t>Informar o consumo de óleo do motor a cada 1000km</t>
        </r>
      </text>
    </comment>
    <comment ref="D209" authorId="0">
      <text>
        <r>
          <rPr>
            <sz val="10"/>
            <color rgb="FF000000"/>
            <rFont val="Arial"/>
            <family val="0"/>
          </rPr>
          <t xml:space="preserve">Informar o preço unitário do litro do óleo do motor
</t>
        </r>
      </text>
    </comment>
    <comment ref="C211" authorId="0">
      <text>
        <r>
          <rPr>
            <sz val="10"/>
            <color rgb="FF000000"/>
            <rFont val="Arial"/>
            <family val="0"/>
          </rPr>
          <t>Informar o consumo de óleo da transmissão a cada 1000km</t>
        </r>
      </text>
    </comment>
    <comment ref="D211" authorId="0">
      <text>
        <r>
          <rPr>
            <sz val="10"/>
            <color rgb="FF000000"/>
            <rFont val="Arial"/>
            <family val="0"/>
          </rPr>
          <t xml:space="preserve">Informar o preço unitário do litro do óleo da transmissão
</t>
        </r>
      </text>
    </comment>
    <comment ref="C213" authorId="0">
      <text>
        <r>
          <rPr>
            <sz val="10"/>
            <color rgb="FF000000"/>
            <rFont val="Arial"/>
            <family val="0"/>
          </rPr>
          <t>Informar o consumo de óleo hidráulico a cada 1000km</t>
        </r>
      </text>
    </comment>
    <comment ref="D213" authorId="0">
      <text>
        <r>
          <rPr>
            <sz val="10"/>
            <color rgb="FF000000"/>
            <rFont val="Arial"/>
            <family val="0"/>
          </rPr>
          <t xml:space="preserve">Informar o preço unitário do litro do óleo hidráulico
</t>
        </r>
      </text>
    </comment>
    <comment ref="C215" authorId="0">
      <text>
        <r>
          <rPr>
            <sz val="10"/>
            <color rgb="FF000000"/>
            <rFont val="Arial"/>
            <family val="0"/>
          </rPr>
          <t>Informar o consumo de graxa a cada 1000km</t>
        </r>
      </text>
    </comment>
    <comment ref="D215" authorId="0">
      <text>
        <r>
          <rPr>
            <sz val="10"/>
            <color rgb="FF000000"/>
            <rFont val="Arial"/>
            <family val="0"/>
          </rPr>
          <t xml:space="preserve">Informar o preço unitário do litro da graxa
</t>
        </r>
      </text>
    </comment>
    <comment ref="D222" authorId="0">
      <text>
        <r>
          <rPr>
            <sz val="10"/>
            <color rgb="FF000000"/>
            <rFont val="Arial"/>
            <family val="0"/>
          </rPr>
          <t xml:space="preserve">Informar o custo de manutenção em R$/km rodado
</t>
        </r>
      </text>
    </comment>
    <comment ref="C227" authorId="0">
      <text>
        <r>
          <rPr>
            <sz val="10"/>
            <color rgb="FF000000"/>
            <rFont val="Arial"/>
            <family val="0"/>
          </rPr>
          <t>Informar a quantidade de pneus novos de 1 caminhão</t>
        </r>
      </text>
    </comment>
    <comment ref="D227" authorId="0">
      <text>
        <r>
          <rPr>
            <sz val="10"/>
            <color rgb="FF000000"/>
            <rFont val="Arial"/>
            <family val="0"/>
          </rPr>
          <t xml:space="preserve">Informar o preço unitário de cada pneu
</t>
        </r>
      </text>
    </comment>
    <comment ref="C228" authorId="0">
      <text>
        <r>
          <rPr>
            <sz val="10"/>
            <color rgb="FF000000"/>
            <rFont val="Arial"/>
            <family val="0"/>
          </rPr>
          <t>Informar o número de recapagens por pneu</t>
        </r>
      </text>
    </comment>
    <comment ref="D229" authorId="0">
      <text>
        <r>
          <rPr>
            <sz val="10"/>
            <color rgb="FF000000"/>
            <rFont val="Arial"/>
            <family val="0"/>
          </rPr>
          <t xml:space="preserve">Informar o preço unitário de cada recapagem
</t>
        </r>
      </text>
    </comment>
    <comment ref="C230" authorId="0">
      <text>
        <r>
          <rPr>
            <sz val="10"/>
            <color rgb="FF000000"/>
            <rFont val="Arial"/>
            <family val="0"/>
          </rPr>
          <t xml:space="preserve">Informar a durabilidade média dos pneus considerando as recapagens, em km
</t>
        </r>
      </text>
    </comment>
    <comment ref="C240" authorId="0">
      <text>
        <r>
          <rPr>
            <sz val="10"/>
            <color rgb="FF000000"/>
            <rFont val="Arial"/>
            <family val="0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0" authorId="0">
      <text>
        <r>
          <rPr>
            <sz val="10"/>
            <color rgb="FF000000"/>
            <rFont val="Arial"/>
            <family val="0"/>
          </rPr>
          <t>Informar o valor unitário estimado para aquisição de cada material</t>
        </r>
      </text>
    </comment>
    <comment ref="C241" authorId="0">
      <text>
        <r>
          <rPr>
            <sz val="10"/>
            <color rgb="FF000000"/>
            <rFont val="Arial"/>
            <family val="0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1" authorId="0">
      <text>
        <r>
          <rPr>
            <sz val="10"/>
            <color rgb="FF000000"/>
            <rFont val="Arial"/>
            <family val="0"/>
          </rPr>
          <t>Informar o valor unitário estimado para aquisição de cada material</t>
        </r>
      </text>
    </comment>
    <comment ref="C242" authorId="0">
      <text>
        <r>
          <rPr>
            <sz val="10"/>
            <color rgb="FF000000"/>
            <rFont val="Arial"/>
            <family val="0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2" authorId="0">
      <text>
        <r>
          <rPr>
            <sz val="10"/>
            <color rgb="FF000000"/>
            <rFont val="Arial"/>
            <family val="0"/>
          </rPr>
          <t>Informar o valor unitário estimado para aquisição de cada material</t>
        </r>
      </text>
    </comment>
    <comment ref="C243" authorId="0">
      <text>
        <r>
          <rPr>
            <sz val="10"/>
            <color rgb="FF000000"/>
            <rFont val="Arial"/>
            <family val="0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3" authorId="0">
      <text>
        <r>
          <rPr>
            <sz val="10"/>
            <color rgb="FF000000"/>
            <rFont val="Arial"/>
            <family val="0"/>
          </rPr>
          <t>Informar o valor unitário estimado para aquisição de cada material</t>
        </r>
      </text>
    </comment>
    <comment ref="C244" authorId="0">
      <text>
        <r>
          <rPr>
            <sz val="10"/>
            <color rgb="FF000000"/>
            <rFont val="Arial"/>
            <family val="0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44" authorId="0">
      <text>
        <r>
          <rPr>
            <sz val="10"/>
            <color rgb="FF000000"/>
            <rFont val="Arial"/>
            <family val="0"/>
          </rPr>
          <t>Informar o valor unitário estimado para aquisição de cada material</t>
        </r>
      </text>
    </comment>
    <comment ref="A249" authorId="0">
      <text>
        <r>
          <rPr>
            <sz val="10"/>
            <color rgb="FF000000"/>
            <rFont val="Arial"/>
            <family val="0"/>
          </rPr>
          <t xml:space="preserve">Especificar somente quando for exigido no Projeto Básico
</t>
        </r>
      </text>
    </comment>
    <comment ref="D252" authorId="0">
      <text>
        <r>
          <rPr>
            <sz val="10"/>
            <color rgb="FF000000"/>
            <rFont val="Arial"/>
            <family val="0"/>
          </rPr>
          <t>Informar o valor total para instalação do equipamento de monitoramento da frota, se houver</t>
        </r>
      </text>
    </comment>
    <comment ref="D254" authorId="0">
      <text>
        <r>
          <rPr>
            <sz val="10"/>
            <color rgb="FF000000"/>
            <rFont val="Arial"/>
            <family val="0"/>
          </rPr>
          <t>Informar o valor unitário mensal para manutenção dos equipamentos de monitoramento</t>
        </r>
      </text>
    </comment>
    <comment ref="C265" authorId="0">
      <text>
        <r>
          <rPr>
            <sz val="10"/>
            <color rgb="FF000000"/>
            <rFont val="Arial"/>
            <family val="0"/>
          </rPr>
          <t>Preencher a aba 4.BDI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37" authorId="0">
      <text>
        <r>
          <rPr>
            <sz val="10"/>
            <color rgb="FF000000"/>
            <rFont val="Arial"/>
            <family val="0"/>
          </rPr>
          <t xml:space="preserve">Jorge Mesquita:
Criar um tipo de arredondamento.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0" authorId="0">
      <text>
        <r>
          <rPr>
            <sz val="10"/>
            <color rgb="FF000000"/>
            <rFont val="Arial"/>
            <family val="0"/>
          </rPr>
          <t xml:space="preserve">Informar o % de Administração Central estimado
</t>
        </r>
      </text>
    </comment>
    <comment ref="C11" authorId="0">
      <text>
        <r>
          <rPr>
            <sz val="10"/>
            <color rgb="FF000000"/>
            <rFont val="Arial"/>
            <family val="0"/>
          </rPr>
          <t xml:space="preserve">Informar o % de Seguros, Riscos e Garantia estimado
</t>
        </r>
      </text>
    </comment>
    <comment ref="C12" authorId="0">
      <text>
        <r>
          <rPr>
            <sz val="10"/>
            <color rgb="FF000000"/>
            <rFont val="Arial"/>
            <family val="0"/>
          </rPr>
          <t xml:space="preserve">Informar o % de Lucro estimado
</t>
        </r>
      </text>
    </comment>
    <comment ref="E13" authorId="0">
      <text>
        <r>
          <rPr>
            <sz val="10"/>
            <color rgb="FF000000"/>
            <rFont val="Arial"/>
            <family val="0"/>
          </rPr>
          <t>Informar o valor anual da taxa financeira, em percentual. Admite-se utilizar a SELIC</t>
        </r>
      </text>
    </comment>
    <comment ref="C14" authorId="0">
      <text>
        <r>
          <rPr>
            <sz val="10"/>
            <color rgb="FF000000"/>
            <rFont val="Arial"/>
            <family val="0"/>
          </rPr>
          <t xml:space="preserve">Informar o percentual de ISS, de acordo com a legislação tributária do município onde serão prestados os serviços. De 2% até o limite de 5%.
</t>
        </r>
      </text>
    </comment>
    <comment ref="E14" authorId="0">
      <text>
        <r>
          <rPr>
            <sz val="10"/>
            <color rgb="FF000000"/>
            <rFont val="Arial"/>
            <family val="0"/>
          </rPr>
          <t xml:space="preserve">Informar a média de dias úteis entre data de pagamento prevista no contrato e a data final do período de adimplemento da parcela
</t>
        </r>
      </text>
    </comment>
    <comment ref="C15" authorId="0">
      <text>
        <r>
          <rPr>
            <sz val="10"/>
            <color rgb="FF000000"/>
            <rFont val="Arial"/>
            <family val="0"/>
          </rPr>
          <t>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11" authorId="0">
      <text>
        <r>
          <rPr>
            <sz val="10"/>
            <color rgb="FF000000"/>
            <rFont val="Arial"/>
            <family val="0"/>
          </rPr>
          <t>retorna a geração diária a ser recolhida</t>
        </r>
      </text>
    </comment>
  </commentList>
</comments>
</file>

<file path=xl/sharedStrings.xml><?xml version="1.0" encoding="utf-8"?>
<sst xmlns="http://schemas.openxmlformats.org/spreadsheetml/2006/main" count="547" uniqueCount="324">
  <si>
    <t>Orientações para preenchimento:</t>
  </si>
  <si>
    <t>CÁLCULO DAS VERBAS INDENIZATÓRIAS DOS EMPREGADOS NO SETOR DE COLETA DE RSU</t>
  </si>
  <si>
    <t>1. Preencha previamente os dados de entrada na planilha 3.CAGED</t>
  </si>
  <si>
    <t>1. Esta planilha é somente um modelo-base. Qualquer custo previsto no edital e não contemplado nesta planilha deverá ser devidamente incluído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</si>
  <si>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</si>
  <si>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</si>
  <si>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</si>
  <si>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 xml:space="preserve">2. Composição dos Encargos Sociais </t>
  </si>
  <si>
    <t>2. Preencher somente células em amarelo</t>
  </si>
  <si>
    <t>3. Nível Geográfico: selecione "Unidade da Federação" e marque a opção "Rio Grande do Sul"</t>
  </si>
  <si>
    <t>3. As células azuis deverão ter seus valores preenchidos em outra planilha do arquivo.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</si>
  <si>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</si>
  <si>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</si>
  <si>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6. Preencha as células em amarelo</t>
  </si>
  <si>
    <t xml:space="preserve">1. Coleta de Resíduos Sólidos </t>
  </si>
  <si>
    <t>3. CAGED</t>
  </si>
  <si>
    <t>Código</t>
  </si>
  <si>
    <t>Descrição</t>
  </si>
  <si>
    <t>Planilha de Composição de Custos</t>
  </si>
  <si>
    <t>Rio Grande do Sul  - Coleta de Resíduos Não-Perigosos - CNAE 38114</t>
  </si>
  <si>
    <t>Admissões</t>
  </si>
  <si>
    <t>Desligamentos</t>
  </si>
  <si>
    <t>Dispensados com justa causa</t>
  </si>
  <si>
    <t>Orçamento Sintético</t>
  </si>
  <si>
    <t>Valor</t>
  </si>
  <si>
    <t>A1</t>
  </si>
  <si>
    <t>INSS</t>
  </si>
  <si>
    <t>Descrição do Item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</si>
  <si>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</si>
  <si>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</si>
  <si>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</si>
  <si>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</si>
  <si>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</si>
  <si>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</si>
  <si>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</si>
  <si>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</si>
  <si>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</si>
  <si>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</si>
  <si>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</si>
  <si>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</si>
  <si>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</si>
  <si>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</si>
  <si>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</si>
  <si>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</si>
  <si>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Dispensados sem justa causa</t>
  </si>
  <si>
    <t>Espontâneos</t>
  </si>
  <si>
    <t>Fim de contrato por prazo determinado</t>
  </si>
  <si>
    <t>Custo (R$/mês)</t>
  </si>
  <si>
    <t>Término de contrato</t>
  </si>
  <si>
    <t>Aposentados</t>
  </si>
  <si>
    <t>%</t>
  </si>
  <si>
    <t>Mortos</t>
  </si>
  <si>
    <t>Transferência de saída</t>
  </si>
  <si>
    <t xml:space="preserve"> </t>
  </si>
  <si>
    <t>Indicadores</t>
  </si>
  <si>
    <t>Estoque recuperado início do Período 01-09-2016</t>
  </si>
  <si>
    <t>Estoque recuperado final do Período 31-08-2017</t>
  </si>
  <si>
    <t>Variação Emprego Absoluta de 01-09-2016 a 31-08-2017</t>
  </si>
  <si>
    <t>Rotatividade</t>
  </si>
  <si>
    <t>B1</t>
  </si>
  <si>
    <t>Férias gozadas</t>
  </si>
  <si>
    <t>Demitidos s/ Justa Causa em relação ao Estoque Médio</t>
  </si>
  <si>
    <t>B2</t>
  </si>
  <si>
    <t>13º salário</t>
  </si>
  <si>
    <t>Dias ano</t>
  </si>
  <si>
    <t>B3</t>
  </si>
  <si>
    <t>Licença Paternidade</t>
  </si>
  <si>
    <t>B4</t>
  </si>
  <si>
    <t>Faltas justificadas</t>
  </si>
  <si>
    <t>B5</t>
  </si>
  <si>
    <t>Auxilio acidente de trabalho</t>
  </si>
  <si>
    <t>1/3 de férias (dias)</t>
  </si>
  <si>
    <t>B6</t>
  </si>
  <si>
    <t>Auxilio doença</t>
  </si>
  <si>
    <t>Férias (dias)</t>
  </si>
  <si>
    <t>B</t>
  </si>
  <si>
    <t>SOMA GRUPO B</t>
  </si>
  <si>
    <t>13º Salário (dias)</t>
  </si>
  <si>
    <t>Estoque Médio</t>
  </si>
  <si>
    <t>C1</t>
  </si>
  <si>
    <t>Aviso prévio indenizado</t>
  </si>
  <si>
    <t>C2</t>
  </si>
  <si>
    <t xml:space="preserve">Férias indenizadas </t>
  </si>
  <si>
    <t>Multa FGTS</t>
  </si>
  <si>
    <t>C3</t>
  </si>
  <si>
    <t>Férias indenizadas s/ aviso previo inden.</t>
  </si>
  <si>
    <t>Fração de tempo para gozo férias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</si>
  <si>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</si>
  <si>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</si>
  <si>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</si>
  <si>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</si>
  <si>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</si>
  <si>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</si>
  <si>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</si>
  <si>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</si>
  <si>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Dias de Aviso prévio</t>
  </si>
  <si>
    <t>D2</t>
  </si>
  <si>
    <t>Reincidência de Grupo A sobre aviso prévio indenizado</t>
  </si>
  <si>
    <t>Rotatividade temporal (meses)</t>
  </si>
  <si>
    <t>3.1.1. Depreciação</t>
  </si>
  <si>
    <t>D</t>
  </si>
  <si>
    <t>SOMA GRUPO D</t>
  </si>
  <si>
    <t>SOMA (A+B+C+D)</t>
  </si>
  <si>
    <t>3.1.2. Remuneração do Capital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</si>
  <si>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</si>
  <si>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</si>
  <si>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</si>
  <si>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</si>
  <si>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</si>
  <si>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</si>
  <si>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</si>
  <si>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</si>
  <si>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Coletor Turno Dia - Referência SEEAC - RS - Convenção Coletiva do Trabalho 2019, TEM: RS 000092/2019, encontrado em www3.mte.gov.br/sistema/mediador</t>
  </si>
  <si>
    <t>Discriminação</t>
  </si>
  <si>
    <t>Unidade</t>
  </si>
  <si>
    <t>Custo unitário</t>
  </si>
  <si>
    <t>Subtotal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</si>
  <si>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</si>
  <si>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Piso da categoria</t>
  </si>
  <si>
    <t>mês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</si>
  <si>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</si>
  <si>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</si>
  <si>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</si>
  <si>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</si>
  <si>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</si>
  <si>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</si>
  <si>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</si>
  <si>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</si>
  <si>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</si>
  <si>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Adicional Noturno</t>
  </si>
  <si>
    <t>horas trabalhadas</t>
  </si>
  <si>
    <t>hora contabilizada</t>
  </si>
  <si>
    <t>1.3. Motorista Turno do Dia. Referência: Acord Sind. Trab. Transp. Rod. Bagé e SETCESUL - Proc. Nº 0020997-41.2018.5.04.000 RVDC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</si>
  <si>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</si>
  <si>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Piso da categoria (1)</t>
  </si>
  <si>
    <t>Salário mínimo nacional (2)</t>
  </si>
  <si>
    <t>Base de cálculo da Insalubridade</t>
  </si>
  <si>
    <t>Total por Motorista</t>
  </si>
  <si>
    <t>1.4. Motorista Turno Noite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</si>
  <si>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</si>
  <si>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Salário mínimo nacional</t>
  </si>
  <si>
    <t>1.5. Vale Transporte - Referência: Vical Transportes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</si>
  <si>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</si>
  <si>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Vale Transporte</t>
  </si>
  <si>
    <t>R$</t>
  </si>
  <si>
    <t>Dias Trabalhados por mês</t>
  </si>
  <si>
    <t>dia</t>
  </si>
  <si>
    <t>Coletor</t>
  </si>
  <si>
    <t>vale</t>
  </si>
  <si>
    <t>Motorista</t>
  </si>
  <si>
    <t>1.6. Vale-refeição (diário): Referência Coletor: Convenção Coletiva do Trabalho 2019, SEEAC-RS, TEM: RS000092/2019</t>
  </si>
  <si>
    <t>Referência Motorista: Agência do Sine Caçapava do Sul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</si>
  <si>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</si>
  <si>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unidade</t>
  </si>
  <si>
    <t>1.7. Auxílio Alimentação (mensal)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</si>
  <si>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</si>
  <si>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Custo Mensal com Mão-de-obra (R$/mês)</t>
  </si>
  <si>
    <t>2. Uniformes e Equipamentos de Proteção Individual</t>
  </si>
  <si>
    <t>2.1. Uniformes e EPIs para Coletor</t>
  </si>
  <si>
    <t>Durabilidade (meses)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</si>
  <si>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</si>
  <si>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Jaqueta com reflexivo (NBR 15.292)</t>
  </si>
  <si>
    <t>Calça</t>
  </si>
  <si>
    <t>Camiseta</t>
  </si>
  <si>
    <t>Boné</t>
  </si>
  <si>
    <t>Botina de segurança c/ ponteira de aço</t>
  </si>
  <si>
    <t>par</t>
  </si>
  <si>
    <t>Meia de algodão com cano alto</t>
  </si>
  <si>
    <t>Capa de chuva amarela com reflexivo</t>
  </si>
  <si>
    <t>Colete reflexivo</t>
  </si>
  <si>
    <t>Luva de proteção</t>
  </si>
  <si>
    <t>Protetor solar FPS 30</t>
  </si>
  <si>
    <t>frasco 120g</t>
  </si>
  <si>
    <t>Higienização de uniformes e EPIs</t>
  </si>
  <si>
    <t>R$ mensal</t>
  </si>
  <si>
    <t>2.2. Uniformes e EPIs para demais categorias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</si>
  <si>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</si>
  <si>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Botina de segurança c/ ponteria de aço</t>
  </si>
  <si>
    <t>Custo Mensal com Uniformes e EPIs (R$/mês)</t>
  </si>
  <si>
    <t>1. Esta planilha é somente um modelo-base e deve ser ajustada conforme cada caso concreto.</t>
  </si>
  <si>
    <t>4. Composição do BDI - Benefícios e Despesas Indiretas</t>
  </si>
  <si>
    <t>3. Veículos e Equipamentos</t>
  </si>
  <si>
    <t>3.1. Veículo Coletor Compactador 15 m³</t>
  </si>
  <si>
    <t>Referência estudo TCE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</si>
  <si>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</si>
  <si>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Custo de aquisição do chassis</t>
  </si>
  <si>
    <t>1° Quartil</t>
  </si>
  <si>
    <t>Médio</t>
  </si>
  <si>
    <t>Vida útil do chassis</t>
  </si>
  <si>
    <t>anos</t>
  </si>
  <si>
    <t>3° Quartil</t>
  </si>
  <si>
    <t>Idade do veículo</t>
  </si>
  <si>
    <t>Administração Central</t>
  </si>
  <si>
    <t>AC</t>
  </si>
  <si>
    <t>Depreciação do chassis</t>
  </si>
  <si>
    <t>Seguros/Riscos/Garantias</t>
  </si>
  <si>
    <t>Depreciação mensal veículos coletores</t>
  </si>
  <si>
    <t>SRG</t>
  </si>
  <si>
    <t>6. Remuneração de Capital</t>
  </si>
  <si>
    <t>Fórmula de cálculo da remuneração de capital:</t>
  </si>
  <si>
    <r>
      <rPr>
        <sz val="12"/>
        <color indexed="8"/>
        <rFont val="Arial"/>
        <family val="0"/>
      </rPr>
      <t>J</t>
    </r>
    <r>
      <rPr>
        <vertAlign val="subscript"/>
        <sz val="12"/>
        <color indexed="8"/>
        <rFont val="Arial"/>
        <family val="0"/>
      </rPr>
      <t>m</t>
    </r>
    <r>
      <rPr>
        <sz val="12"/>
        <color indexed="8"/>
        <rFont val="Arial"/>
        <family val="0"/>
      </rPr>
      <t xml:space="preserve"> = remuneração de capital mensal</t>
    </r>
  </si>
  <si>
    <t>i = taxa de juros do mercado (sugere-se adotar a taxa SELIC)</t>
  </si>
  <si>
    <t>Im = investimento médio</t>
  </si>
  <si>
    <t>Lucro</t>
  </si>
  <si>
    <t>L</t>
  </si>
  <si>
    <r>
      <rPr>
        <sz val="12"/>
        <color indexed="8"/>
        <rFont val="Arial"/>
        <family val="0"/>
      </rPr>
      <t>V</t>
    </r>
    <r>
      <rPr>
        <vertAlign val="subscript"/>
        <sz val="12"/>
        <color indexed="8"/>
        <rFont val="Arial"/>
        <family val="0"/>
      </rPr>
      <t>0</t>
    </r>
    <r>
      <rPr>
        <sz val="12"/>
        <color indexed="8"/>
        <rFont val="Arial"/>
        <family val="0"/>
      </rPr>
      <t xml:space="preserve"> = valor inicial do bem</t>
    </r>
  </si>
  <si>
    <t>Despesas Financeiras</t>
  </si>
  <si>
    <t>DF</t>
  </si>
  <si>
    <r>
      <rPr>
        <sz val="12"/>
        <color indexed="8"/>
        <rFont val="Arial"/>
        <family val="0"/>
      </rPr>
      <t>V</t>
    </r>
    <r>
      <rPr>
        <vertAlign val="subscript"/>
        <sz val="12"/>
        <color indexed="8"/>
        <rFont val="Arial"/>
        <family val="0"/>
      </rPr>
      <t>r</t>
    </r>
    <r>
      <rPr>
        <sz val="12"/>
        <color indexed="8"/>
        <rFont val="Arial"/>
        <family val="0"/>
      </rPr>
      <t xml:space="preserve"> = valor residual do bem</t>
    </r>
  </si>
  <si>
    <t>n = vida útil do bem em anos</t>
  </si>
  <si>
    <t>Custo de aquisição do compactador</t>
  </si>
  <si>
    <t>i</t>
  </si>
  <si>
    <t>Vida útil do compactador</t>
  </si>
  <si>
    <t>Idade do compactador</t>
  </si>
  <si>
    <t>Tributos - ISS</t>
  </si>
  <si>
    <t>T</t>
  </si>
  <si>
    <t>Depreciação do compactador</t>
  </si>
  <si>
    <t>DU</t>
  </si>
  <si>
    <t>Depreciação mensal do compactador</t>
  </si>
  <si>
    <t>Tributos - PIS/COFINS</t>
  </si>
  <si>
    <t>Total por veículo</t>
  </si>
  <si>
    <t>Total da frota</t>
  </si>
  <si>
    <t>Fórmula para o cálculo do BDI:</t>
  </si>
  <si>
    <t>{[(1+AC+SRG) x (1+L) x (1+DF)] / (1-T)} -1</t>
  </si>
  <si>
    <t>Resultado do cálculo do BDI: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</si>
  <si>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</si>
  <si>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</si>
  <si>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</si>
  <si>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</si>
  <si>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</si>
  <si>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</si>
  <si>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</si>
  <si>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</si>
  <si>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</si>
  <si>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</si>
  <si>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</si>
  <si>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</si>
  <si>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IPVA</t>
  </si>
  <si>
    <t>Licenciamento e Seguro obrigatório</t>
  </si>
  <si>
    <t>Seguro contra terceiros</t>
  </si>
  <si>
    <t>Impostos e seguros mensais</t>
  </si>
  <si>
    <t>3.1.4. Consumos</t>
  </si>
  <si>
    <t>Quilometragem mensal</t>
  </si>
  <si>
    <t>Consumo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</si>
  <si>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</si>
  <si>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</si>
  <si>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</si>
  <si>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</si>
  <si>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</si>
  <si>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</si>
  <si>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</si>
  <si>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</si>
  <si>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</si>
  <si>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</si>
  <si>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5. Depreciação Referencial TCE/RS (%)</t>
  </si>
  <si>
    <t>Idade do veículo (ano)</t>
  </si>
  <si>
    <t>Custo de óleo hidráulico / 1.000 km</t>
  </si>
  <si>
    <t>Depreciação Média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</si>
  <si>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</si>
  <si>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</si>
  <si>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</si>
  <si>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</si>
  <si>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</si>
  <si>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</si>
  <si>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 - Dados de custo de manutenção por km rodado em contratos de coleta de RSU (Fonte: Licitacon, 2016)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</si>
  <si>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</si>
  <si>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Custo de manutenção dos caminhões</t>
  </si>
  <si>
    <t>3.1.6. Pneus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</si>
  <si>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</si>
  <si>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Custo do jogo de pneus xxx/xx Rxx</t>
  </si>
  <si>
    <t>Número de recapagens por pneu</t>
  </si>
  <si>
    <t>Custo de recapagem</t>
  </si>
  <si>
    <t>Custo jg. compl. + 2 recap./ km rodado</t>
  </si>
  <si>
    <t>km/jogo</t>
  </si>
  <si>
    <t>Custo mensal com pneus</t>
  </si>
  <si>
    <t>Custo Mensal com Veículos e Equipamentos (R$/mês)</t>
  </si>
  <si>
    <t>4. Ferramentas e Materiais de Consumo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</si>
  <si>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</si>
  <si>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</si>
  <si>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</si>
  <si>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</si>
  <si>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</si>
  <si>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</si>
  <si>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</si>
  <si>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</si>
  <si>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</si>
  <si>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</si>
  <si>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Implantação dos equipamentos de monitoramento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</si>
  <si>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</si>
  <si>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</si>
  <si>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</si>
  <si>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</si>
  <si>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</si>
  <si>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6. Benefícios e Despesas Indiretas - BDI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</si>
  <si>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</si>
  <si>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Benefícios e despesas indiretas</t>
  </si>
  <si>
    <t xml:space="preserve">                                 </t>
  </si>
  <si>
    <t>CUSTO MENSAL COM BDI (R$/mês)</t>
  </si>
  <si>
    <t>PREÇO MENSAL TOTAL (R$/mês)</t>
  </si>
  <si>
    <t>1. Esta planilha é somente um modelo de cálculo expedito e deve ser ajustada conforme cada caso concreto.</t>
  </si>
  <si>
    <t>2. Dimensionar separadamente setores atendidos por veículos de capacidade de carga diferentes.</t>
  </si>
  <si>
    <t>3. Preencher somente células em amarelo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</si>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</sst>
</file>

<file path=xl/styles.xml><?xml version="1.0" encoding="utf-8"?>
<styleSheet xmlns="http://schemas.openxmlformats.org/spreadsheetml/2006/main">
  <numFmts count="1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(* #,##0.00_);_(* \(#,##0.00\);_(* \-??_);_(@_)"/>
    <numFmt numFmtId="165" formatCode="&quot;R$ &quot;#,##0.00"/>
    <numFmt numFmtId="166" formatCode="0.0000"/>
    <numFmt numFmtId="167" formatCode="&quot;R$ &quot;#,##0.00_);&quot;(R$ &quot;#,##0.00\)"/>
    <numFmt numFmtId="168" formatCode="_(* #,##0_);_(* \(#,##0\);_(* \-??_);_(@_)"/>
    <numFmt numFmtId="169" formatCode="_-* #,##0.00_-;\-* #,##0.00_-;_-* \-??_-;_-@"/>
    <numFmt numFmtId="170" formatCode="_(* #,##0.000_);_(* \(#,##0.000\);_(* \-??_);_(@_)"/>
    <numFmt numFmtId="171" formatCode="_-* #,##0.000_-;\-* #,##0.000_-;_-* \-??_-;_-@"/>
    <numFmt numFmtId="172" formatCode="_-* #,##0.00_-;\-* #,##0.00_-;_-* \-?_-;_-@"/>
    <numFmt numFmtId="173" formatCode="_-* #,##0_-;\-* #,##0_-;_-* \-?_-;_-@"/>
  </numFmts>
  <fonts count="6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u val="single"/>
      <sz val="9"/>
      <name val="Arial"/>
      <family val="0"/>
    </font>
    <font>
      <vertAlign val="subscript"/>
      <sz val="12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u val="single"/>
      <sz val="10"/>
      <color rgb="FF0000FF"/>
      <name val="Arial"/>
      <family val="0"/>
    </font>
    <font>
      <sz val="12"/>
      <color rgb="FF000000"/>
      <name val="Arial"/>
      <family val="0"/>
    </font>
    <font>
      <sz val="10"/>
      <color rgb="FFFF0000"/>
      <name val="Arial"/>
      <family val="0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BFBFB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>
        <color indexed="63"/>
      </left>
      <right>
        <color indexed="63"/>
      </right>
      <top style="medium">
        <color rgb="FF000000"/>
      </top>
      <bottom/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medium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/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56" fillId="0" borderId="15" xfId="0" applyFont="1" applyBorder="1" applyAlignment="1">
      <alignment/>
    </xf>
    <xf numFmtId="164" fontId="3" fillId="0" borderId="16" xfId="0" applyNumberFormat="1" applyFont="1" applyBorder="1" applyAlignment="1">
      <alignment vertical="center"/>
    </xf>
    <xf numFmtId="0" fontId="56" fillId="0" borderId="10" xfId="0" applyFont="1" applyBorder="1" applyAlignment="1">
      <alignment/>
    </xf>
    <xf numFmtId="0" fontId="55" fillId="0" borderId="17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10" fontId="55" fillId="0" borderId="15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5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horizontal="center" vertical="center"/>
    </xf>
    <xf numFmtId="10" fontId="56" fillId="0" borderId="1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164" fontId="2" fillId="0" borderId="11" xfId="0" applyNumberFormat="1" applyFont="1" applyBorder="1" applyAlignment="1">
      <alignment vertical="center"/>
    </xf>
    <xf numFmtId="0" fontId="6" fillId="0" borderId="23" xfId="0" applyFont="1" applyBorder="1" applyAlignment="1">
      <alignment/>
    </xf>
    <xf numFmtId="164" fontId="2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/>
    </xf>
    <xf numFmtId="165" fontId="2" fillId="0" borderId="17" xfId="0" applyNumberFormat="1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55" fillId="33" borderId="10" xfId="0" applyFont="1" applyFill="1" applyBorder="1" applyAlignment="1">
      <alignment horizontal="left" vertical="center"/>
    </xf>
    <xf numFmtId="0" fontId="56" fillId="0" borderId="26" xfId="0" applyFont="1" applyBorder="1" applyAlignment="1">
      <alignment/>
    </xf>
    <xf numFmtId="0" fontId="56" fillId="33" borderId="17" xfId="0" applyFont="1" applyFill="1" applyBorder="1" applyAlignment="1">
      <alignment horizontal="left" vertical="center"/>
    </xf>
    <xf numFmtId="10" fontId="56" fillId="33" borderId="15" xfId="0" applyNumberFormat="1" applyFont="1" applyFill="1" applyBorder="1" applyAlignment="1">
      <alignment horizontal="right" vertical="center"/>
    </xf>
    <xf numFmtId="10" fontId="2" fillId="0" borderId="1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6" fontId="56" fillId="0" borderId="22" xfId="0" applyNumberFormat="1" applyFont="1" applyBorder="1" applyAlignment="1">
      <alignment/>
    </xf>
    <xf numFmtId="165" fontId="3" fillId="0" borderId="17" xfId="0" applyNumberFormat="1" applyFont="1" applyBorder="1" applyAlignment="1">
      <alignment vertical="center"/>
    </xf>
    <xf numFmtId="0" fontId="56" fillId="0" borderId="27" xfId="0" applyFont="1" applyBorder="1" applyAlignment="1">
      <alignment/>
    </xf>
    <xf numFmtId="10" fontId="3" fillId="0" borderId="12" xfId="0" applyNumberFormat="1" applyFont="1" applyBorder="1" applyAlignment="1">
      <alignment vertical="center"/>
    </xf>
    <xf numFmtId="0" fontId="56" fillId="0" borderId="22" xfId="0" applyFont="1" applyBorder="1" applyAlignment="1">
      <alignment/>
    </xf>
    <xf numFmtId="164" fontId="3" fillId="0" borderId="11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22" xfId="0" applyFont="1" applyBorder="1" applyAlignment="1">
      <alignment/>
    </xf>
    <xf numFmtId="9" fontId="7" fillId="0" borderId="22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9" fontId="55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left" vertical="center"/>
    </xf>
    <xf numFmtId="166" fontId="7" fillId="0" borderId="22" xfId="0" applyNumberFormat="1" applyFont="1" applyBorder="1" applyAlignment="1">
      <alignment/>
    </xf>
    <xf numFmtId="4" fontId="2" fillId="0" borderId="2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left" vertical="center"/>
    </xf>
    <xf numFmtId="4" fontId="3" fillId="0" borderId="24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6" fillId="0" borderId="28" xfId="0" applyFont="1" applyBorder="1" applyAlignment="1">
      <alignment/>
    </xf>
    <xf numFmtId="166" fontId="7" fillId="0" borderId="29" xfId="0" applyNumberFormat="1" applyFont="1" applyBorder="1" applyAlignment="1">
      <alignment/>
    </xf>
    <xf numFmtId="0" fontId="55" fillId="34" borderId="30" xfId="0" applyFont="1" applyFill="1" applyBorder="1" applyAlignment="1">
      <alignment horizontal="left" vertical="center"/>
    </xf>
    <xf numFmtId="0" fontId="56" fillId="34" borderId="31" xfId="0" applyFont="1" applyFill="1" applyBorder="1" applyAlignment="1">
      <alignment horizontal="left" vertical="center"/>
    </xf>
    <xf numFmtId="164" fontId="57" fillId="0" borderId="11" xfId="0" applyNumberFormat="1" applyFont="1" applyBorder="1" applyAlignment="1">
      <alignment horizontal="left" vertical="center"/>
    </xf>
    <xf numFmtId="10" fontId="56" fillId="34" borderId="32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left" vertical="center"/>
    </xf>
    <xf numFmtId="10" fontId="56" fillId="0" borderId="0" xfId="0" applyNumberFormat="1" applyFont="1" applyAlignment="1">
      <alignment horizontal="right" vertical="center"/>
    </xf>
    <xf numFmtId="0" fontId="0" fillId="35" borderId="0" xfId="0" applyFont="1" applyFill="1" applyBorder="1" applyAlignment="1">
      <alignment horizontal="left" vertical="center"/>
    </xf>
    <xf numFmtId="10" fontId="55" fillId="0" borderId="0" xfId="0" applyNumberFormat="1" applyFont="1" applyAlignment="1">
      <alignment horizontal="right" vertical="center"/>
    </xf>
    <xf numFmtId="0" fontId="55" fillId="35" borderId="0" xfId="0" applyFont="1" applyFill="1" applyBorder="1" applyAlignment="1">
      <alignment horizontal="left" vertical="center"/>
    </xf>
    <xf numFmtId="165" fontId="2" fillId="0" borderId="31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horizontal="left" vertical="center"/>
    </xf>
    <xf numFmtId="4" fontId="2" fillId="0" borderId="34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vertical="center"/>
    </xf>
    <xf numFmtId="167" fontId="2" fillId="0" borderId="35" xfId="0" applyNumberFormat="1" applyFont="1" applyBorder="1" applyAlignment="1">
      <alignment vertical="center"/>
    </xf>
    <xf numFmtId="9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" fontId="2" fillId="0" borderId="2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4" fontId="3" fillId="0" borderId="39" xfId="0" applyNumberFormat="1" applyFont="1" applyBorder="1" applyAlignment="1">
      <alignment vertical="center"/>
    </xf>
    <xf numFmtId="164" fontId="3" fillId="0" borderId="40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4" fontId="2" fillId="0" borderId="33" xfId="0" applyNumberFormat="1" applyFont="1" applyBorder="1" applyAlignment="1">
      <alignment vertical="center"/>
    </xf>
    <xf numFmtId="9" fontId="2" fillId="0" borderId="41" xfId="0" applyNumberFormat="1" applyFont="1" applyBorder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0" fontId="11" fillId="36" borderId="43" xfId="0" applyFont="1" applyFill="1" applyBorder="1" applyAlignment="1">
      <alignment horizontal="center" vertical="center"/>
    </xf>
    <xf numFmtId="164" fontId="11" fillId="36" borderId="43" xfId="0" applyNumberFormat="1" applyFont="1" applyFill="1" applyBorder="1" applyAlignment="1">
      <alignment horizontal="center" vertical="center"/>
    </xf>
    <xf numFmtId="164" fontId="11" fillId="36" borderId="36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17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11" fillId="0" borderId="43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8" fontId="3" fillId="0" borderId="17" xfId="0" applyNumberFormat="1" applyFont="1" applyBorder="1" applyAlignment="1">
      <alignment horizontal="center" vertical="center"/>
    </xf>
    <xf numFmtId="168" fontId="3" fillId="0" borderId="17" xfId="0" applyNumberFormat="1" applyFont="1" applyBorder="1" applyAlignment="1">
      <alignment vertical="center"/>
    </xf>
    <xf numFmtId="164" fontId="2" fillId="0" borderId="4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64" fontId="2" fillId="0" borderId="41" xfId="0" applyNumberFormat="1" applyFont="1" applyBorder="1" applyAlignment="1">
      <alignment vertical="center"/>
    </xf>
    <xf numFmtId="164" fontId="2" fillId="36" borderId="46" xfId="0" applyNumberFormat="1" applyFont="1" applyFill="1" applyBorder="1" applyAlignment="1">
      <alignment vertical="center"/>
    </xf>
    <xf numFmtId="0" fontId="11" fillId="36" borderId="43" xfId="0" applyFont="1" applyFill="1" applyBorder="1" applyAlignment="1">
      <alignment horizontal="center" vertical="center" wrapText="1"/>
    </xf>
    <xf numFmtId="13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47" xfId="0" applyNumberFormat="1" applyFont="1" applyBorder="1" applyAlignment="1">
      <alignment horizontal="center" vertical="center"/>
    </xf>
    <xf numFmtId="164" fontId="2" fillId="36" borderId="48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6" fillId="0" borderId="0" xfId="0" applyFont="1" applyAlignment="1">
      <alignment/>
    </xf>
    <xf numFmtId="164" fontId="3" fillId="0" borderId="34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164" fontId="3" fillId="0" borderId="41" xfId="0" applyNumberFormat="1" applyFont="1" applyBorder="1" applyAlignment="1">
      <alignment vertical="center"/>
    </xf>
    <xf numFmtId="164" fontId="2" fillId="36" borderId="46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9" fontId="6" fillId="0" borderId="10" xfId="0" applyNumberFormat="1" applyFont="1" applyBorder="1" applyAlignment="1">
      <alignment/>
    </xf>
    <xf numFmtId="9" fontId="6" fillId="0" borderId="17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169" fontId="3" fillId="0" borderId="0" xfId="0" applyNumberFormat="1" applyFont="1" applyAlignment="1">
      <alignment vertical="center"/>
    </xf>
    <xf numFmtId="0" fontId="6" fillId="0" borderId="50" xfId="0" applyFont="1" applyBorder="1" applyAlignment="1">
      <alignment horizontal="center" vertical="center"/>
    </xf>
    <xf numFmtId="2" fontId="55" fillId="0" borderId="17" xfId="0" applyNumberFormat="1" applyFont="1" applyBorder="1" applyAlignment="1">
      <alignment horizontal="right" vertical="center"/>
    </xf>
    <xf numFmtId="10" fontId="6" fillId="0" borderId="21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right"/>
    </xf>
    <xf numFmtId="10" fontId="6" fillId="0" borderId="17" xfId="0" applyNumberFormat="1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2" fillId="0" borderId="51" xfId="0" applyFont="1" applyBorder="1" applyAlignment="1">
      <alignment vertical="center"/>
    </xf>
    <xf numFmtId="0" fontId="4" fillId="37" borderId="5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0" fontId="58" fillId="0" borderId="53" xfId="0" applyFont="1" applyBorder="1" applyAlignment="1">
      <alignment horizontal="left"/>
    </xf>
    <xf numFmtId="164" fontId="2" fillId="0" borderId="51" xfId="0" applyNumberFormat="1" applyFont="1" applyBorder="1" applyAlignment="1">
      <alignment horizontal="center" vertical="center"/>
    </xf>
    <xf numFmtId="0" fontId="58" fillId="0" borderId="54" xfId="0" applyFont="1" applyBorder="1" applyAlignment="1">
      <alignment horizontal="left"/>
    </xf>
    <xf numFmtId="10" fontId="6" fillId="0" borderId="17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10" fontId="6" fillId="0" borderId="3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10" fontId="6" fillId="0" borderId="57" xfId="0" applyNumberFormat="1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8" xfId="0" applyFont="1" applyBorder="1" applyAlignment="1">
      <alignment vertical="center"/>
    </xf>
    <xf numFmtId="0" fontId="7" fillId="33" borderId="59" xfId="0" applyFont="1" applyFill="1" applyBorder="1" applyAlignment="1">
      <alignment vertical="center" wrapText="1"/>
    </xf>
    <xf numFmtId="0" fontId="11" fillId="36" borderId="60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vertical="center"/>
    </xf>
    <xf numFmtId="164" fontId="11" fillId="36" borderId="61" xfId="0" applyNumberFormat="1" applyFont="1" applyFill="1" applyBorder="1" applyAlignment="1">
      <alignment horizontal="center" vertical="center"/>
    </xf>
    <xf numFmtId="10" fontId="7" fillId="33" borderId="48" xfId="0" applyNumberFormat="1" applyFont="1" applyFill="1" applyBorder="1" applyAlignment="1">
      <alignment horizontal="center" vertical="center" wrapText="1"/>
    </xf>
    <xf numFmtId="10" fontId="6" fillId="0" borderId="30" xfId="0" applyNumberFormat="1" applyFont="1" applyBorder="1" applyAlignment="1">
      <alignment horizontal="right"/>
    </xf>
    <xf numFmtId="10" fontId="6" fillId="0" borderId="31" xfId="0" applyNumberFormat="1" applyFont="1" applyBorder="1" applyAlignment="1">
      <alignment horizontal="right"/>
    </xf>
    <xf numFmtId="10" fontId="6" fillId="0" borderId="3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17" xfId="0" applyNumberFormat="1" applyFont="1" applyBorder="1" applyAlignment="1">
      <alignment vertical="center"/>
    </xf>
    <xf numFmtId="4" fontId="3" fillId="35" borderId="47" xfId="0" applyNumberFormat="1" applyFont="1" applyFill="1" applyBorder="1" applyAlignment="1">
      <alignment horizontal="center" vertical="center"/>
    </xf>
    <xf numFmtId="170" fontId="3" fillId="0" borderId="47" xfId="0" applyNumberFormat="1" applyFont="1" applyBorder="1" applyAlignment="1">
      <alignment horizontal="center" vertical="center"/>
    </xf>
    <xf numFmtId="168" fontId="3" fillId="35" borderId="17" xfId="0" applyNumberFormat="1" applyFont="1" applyFill="1" applyBorder="1" applyAlignment="1">
      <alignment horizontal="center" vertical="center"/>
    </xf>
    <xf numFmtId="170" fontId="3" fillId="0" borderId="44" xfId="0" applyNumberFormat="1" applyFont="1" applyBorder="1" applyAlignment="1">
      <alignment horizontal="center" vertical="center"/>
    </xf>
    <xf numFmtId="4" fontId="3" fillId="35" borderId="17" xfId="0" applyNumberFormat="1" applyFont="1" applyFill="1" applyBorder="1" applyAlignment="1">
      <alignment horizontal="center" vertical="center"/>
    </xf>
    <xf numFmtId="170" fontId="3" fillId="0" borderId="17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5" fillId="38" borderId="17" xfId="0" applyNumberFormat="1" applyFont="1" applyFill="1" applyBorder="1" applyAlignment="1">
      <alignment horizontal="right" vertical="center"/>
    </xf>
    <xf numFmtId="0" fontId="55" fillId="0" borderId="30" xfId="0" applyFont="1" applyBorder="1" applyAlignment="1">
      <alignment horizontal="center" vertical="center"/>
    </xf>
    <xf numFmtId="2" fontId="55" fillId="38" borderId="31" xfId="0" applyNumberFormat="1" applyFont="1" applyFill="1" applyBorder="1" applyAlignment="1">
      <alignment horizontal="right" vertical="center"/>
    </xf>
    <xf numFmtId="168" fontId="2" fillId="0" borderId="17" xfId="0" applyNumberFormat="1" applyFont="1" applyBorder="1" applyAlignment="1">
      <alignment horizontal="center" vertical="center"/>
    </xf>
    <xf numFmtId="170" fontId="2" fillId="0" borderId="1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64" fontId="3" fillId="35" borderId="47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64" fontId="3" fillId="35" borderId="4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3" fillId="35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7" xfId="0" applyFont="1" applyBorder="1" applyAlignment="1">
      <alignment/>
    </xf>
    <xf numFmtId="171" fontId="55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72" fontId="6" fillId="0" borderId="32" xfId="0" applyNumberFormat="1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/>
    </xf>
    <xf numFmtId="0" fontId="4" fillId="39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7" fillId="39" borderId="67" xfId="0" applyFont="1" applyFill="1" applyBorder="1" applyAlignment="1">
      <alignment horizontal="center" vertical="center"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164" fontId="2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70" xfId="0" applyFont="1" applyBorder="1" applyAlignment="1">
      <alignment/>
    </xf>
    <xf numFmtId="164" fontId="9" fillId="39" borderId="33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4" fontId="3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4" fontId="2" fillId="0" borderId="11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164" fontId="3" fillId="0" borderId="11" xfId="0" applyNumberFormat="1" applyFont="1" applyBorder="1" applyAlignment="1">
      <alignment horizontal="left" vertical="center" wrapText="1"/>
    </xf>
    <xf numFmtId="0" fontId="3" fillId="0" borderId="71" xfId="0" applyFont="1" applyBorder="1" applyAlignment="1">
      <alignment/>
    </xf>
    <xf numFmtId="164" fontId="3" fillId="0" borderId="11" xfId="0" applyNumberFormat="1" applyFont="1" applyBorder="1" applyAlignment="1">
      <alignment vertical="center" wrapText="1"/>
    </xf>
    <xf numFmtId="0" fontId="4" fillId="39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37" borderId="18" xfId="0" applyFont="1" applyFill="1" applyBorder="1" applyAlignment="1">
      <alignment horizontal="center"/>
    </xf>
    <xf numFmtId="0" fontId="9" fillId="37" borderId="64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3" fillId="0" borderId="73" xfId="0" applyFont="1" applyBorder="1" applyAlignment="1">
      <alignment/>
    </xf>
    <xf numFmtId="0" fontId="9" fillId="37" borderId="33" xfId="0" applyFont="1" applyFill="1" applyBorder="1" applyAlignment="1">
      <alignment horizontal="center" vertical="center"/>
    </xf>
    <xf numFmtId="0" fontId="3" fillId="0" borderId="74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19050</xdr:rowOff>
    </xdr:from>
    <xdr:to>
      <xdr:col>0</xdr:col>
      <xdr:colOff>1400175</xdr:colOff>
      <xdr:row>6</xdr:row>
      <xdr:rowOff>47625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"/>
          <a:ext cx="1276350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76200</xdr:colOff>
      <xdr:row>7</xdr:row>
      <xdr:rowOff>0</xdr:rowOff>
    </xdr:from>
    <xdr:to>
      <xdr:col>0</xdr:col>
      <xdr:colOff>2105025</xdr:colOff>
      <xdr:row>9</xdr:row>
      <xdr:rowOff>38100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33475"/>
          <a:ext cx="20288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5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44.00390625" style="0" customWidth="1"/>
    <col min="2" max="2" width="15.8515625" style="0" customWidth="1"/>
    <col min="3" max="3" width="11.57421875" style="0" customWidth="1"/>
    <col min="4" max="4" width="14.421875" style="0" customWidth="1"/>
    <col min="5" max="5" width="15.28125" style="0" customWidth="1"/>
    <col min="6" max="6" width="13.140625" style="0" customWidth="1"/>
    <col min="7" max="7" width="27.8515625" style="0" customWidth="1"/>
    <col min="8" max="8" width="9.00390625" style="0" customWidth="1"/>
    <col min="9" max="9" width="14.28125" style="0" customWidth="1"/>
    <col min="10" max="10" width="13.28125" style="0" customWidth="1"/>
    <col min="11" max="26" width="8.7109375" style="0" customWidth="1"/>
  </cols>
  <sheetData>
    <row r="1" spans="1:26" ht="12.75" customHeight="1">
      <c r="A1" s="1" t="s">
        <v>0</v>
      </c>
      <c r="B1" s="2"/>
      <c r="C1" s="2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1.5" customHeight="1">
      <c r="A2" s="267" t="s">
        <v>3</v>
      </c>
      <c r="B2" s="268"/>
      <c r="C2" s="268"/>
      <c r="D2" s="268"/>
      <c r="E2" s="268"/>
      <c r="F2" s="268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2" t="s">
        <v>8</v>
      </c>
      <c r="B3" s="2"/>
      <c r="C3" s="6"/>
      <c r="D3" s="6"/>
      <c r="E3" s="6"/>
      <c r="F3" s="6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6" t="s">
        <v>10</v>
      </c>
      <c r="B4" s="6"/>
      <c r="C4" s="6"/>
      <c r="D4" s="6"/>
      <c r="E4" s="6"/>
      <c r="F4" s="6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"/>
      <c r="B5" s="6"/>
      <c r="C5" s="6"/>
      <c r="D5" s="6"/>
      <c r="E5" s="6"/>
      <c r="F5" s="6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"/>
      <c r="B6" s="6"/>
      <c r="C6" s="6"/>
      <c r="D6" s="6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2"/>
      <c r="B7" s="6"/>
      <c r="C7" s="6"/>
      <c r="D7" s="4"/>
      <c r="E7" s="4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56" t="s">
        <v>14</v>
      </c>
      <c r="B8" s="257"/>
      <c r="C8" s="257"/>
      <c r="D8" s="257"/>
      <c r="E8" s="257"/>
      <c r="F8" s="258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.75" customHeight="1">
      <c r="A9" s="259" t="s">
        <v>18</v>
      </c>
      <c r="B9" s="260"/>
      <c r="C9" s="260"/>
      <c r="D9" s="260"/>
      <c r="E9" s="260"/>
      <c r="F9" s="261"/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0.5" customHeight="1">
      <c r="A10" s="14"/>
      <c r="B10" s="6"/>
      <c r="C10" s="6"/>
      <c r="D10" s="4"/>
      <c r="E10" s="4"/>
      <c r="F10" s="16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65" t="s">
        <v>23</v>
      </c>
      <c r="B11" s="263"/>
      <c r="C11" s="263"/>
      <c r="D11" s="263"/>
      <c r="E11" s="263"/>
      <c r="F11" s="266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2" t="s">
        <v>27</v>
      </c>
      <c r="B12" s="23"/>
      <c r="C12" s="23"/>
      <c r="D12" s="27"/>
      <c r="E12" s="28" t="s">
        <v>47</v>
      </c>
      <c r="F12" s="29" t="s">
        <v>50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33" t="str">
        <f>A50</f>
        <v>1. Mão-de-obra</v>
      </c>
      <c r="B13" s="35"/>
      <c r="C13" s="35"/>
      <c r="D13" s="35"/>
      <c r="E13" s="37">
        <f>+F122</f>
        <v>28998.61636</v>
      </c>
      <c r="F13" s="44">
        <f aca="true" t="shared" si="0" ref="F13:F32">_xlfn.IFERROR(E13/$E$33,0)</f>
        <v>0.4727122239052021</v>
      </c>
      <c r="G13" s="4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271" t="str">
        <f>A52</f>
        <v>1.1. Coletor Turno Dia - Referência SEEAC - RS - Convenção Coletiva do Trabalho 2019, TEM: RS 000092/2019, encontrado em www3.mte.gov.br/sistema/mediador</v>
      </c>
      <c r="B14" s="270"/>
      <c r="C14" s="270"/>
      <c r="D14" s="272"/>
      <c r="E14" s="47">
        <f>F60</f>
        <v>18784.171560000003</v>
      </c>
      <c r="F14" s="49">
        <f t="shared" si="0"/>
        <v>0.30620452376454177</v>
      </c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51" t="str">
        <f>A62</f>
        <v>1.2. Coletor Turno Noite</v>
      </c>
      <c r="B15" s="52"/>
      <c r="C15" s="52"/>
      <c r="D15" s="52"/>
      <c r="E15" s="47">
        <f>F72</f>
        <v>0</v>
      </c>
      <c r="F15" s="49">
        <f t="shared" si="0"/>
        <v>0</v>
      </c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4.25" customHeight="1">
      <c r="A16" s="273" t="str">
        <f>A74</f>
        <v>1.3. Motorista Turno do Dia. Referência: Acord Sind. Trab. Transp. Rod. Bagé e SETCESUL - Proc. Nº 0020997-41.2018.5.04.000 RVDC</v>
      </c>
      <c r="B16" s="270"/>
      <c r="C16" s="270"/>
      <c r="D16" s="272"/>
      <c r="E16" s="47">
        <f>F84</f>
        <v>7009.1968</v>
      </c>
      <c r="F16" s="49">
        <f t="shared" si="0"/>
        <v>0.11425831377553443</v>
      </c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51" t="str">
        <f>A86</f>
        <v>1.4. Motorista Turno Noite</v>
      </c>
      <c r="B17" s="52"/>
      <c r="C17" s="52"/>
      <c r="D17" s="52"/>
      <c r="E17" s="47">
        <f>F98</f>
        <v>0</v>
      </c>
      <c r="F17" s="49">
        <f t="shared" si="0"/>
        <v>0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51" t="str">
        <f>A100</f>
        <v>1.5. Vale Transporte - Referência: Vical Transportes</v>
      </c>
      <c r="B18" s="52"/>
      <c r="C18" s="52"/>
      <c r="D18" s="52"/>
      <c r="E18" s="47">
        <f>F106</f>
        <v>595.368</v>
      </c>
      <c r="F18" s="49">
        <f t="shared" si="0"/>
        <v>0.009705212408347898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.5" customHeight="1">
      <c r="A19" s="273" t="str">
        <f>A109</f>
        <v>1.6. Vale-refeição (diário): Referência Coletor: Convenção Coletiva do Trabalho 2019, SEEAC-RS, TEM: RS000092/2019</v>
      </c>
      <c r="B19" s="270"/>
      <c r="C19" s="270"/>
      <c r="D19" s="272"/>
      <c r="E19" s="47">
        <f>F114</f>
        <v>2609.88</v>
      </c>
      <c r="F19" s="49">
        <f t="shared" si="0"/>
        <v>0.042544173956778016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51" t="str">
        <f>A116</f>
        <v>1.7. Auxílio Alimentação (mensal)</v>
      </c>
      <c r="B20" s="52"/>
      <c r="C20" s="52"/>
      <c r="D20" s="52"/>
      <c r="E20" s="47">
        <f>F120</f>
        <v>0</v>
      </c>
      <c r="F20" s="49">
        <f t="shared" si="0"/>
        <v>0</v>
      </c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69" t="str">
        <f>A124</f>
        <v>2. Uniformes e Equipamentos de Proteção Individual</v>
      </c>
      <c r="B21" s="270"/>
      <c r="C21" s="270"/>
      <c r="D21" s="35"/>
      <c r="E21" s="37">
        <f>+F156</f>
        <v>1081.1550000000002</v>
      </c>
      <c r="F21" s="44">
        <f t="shared" si="0"/>
        <v>0.01762412309923841</v>
      </c>
      <c r="G21" s="4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9" t="str">
        <f>A158</f>
        <v>3. Veículos e Equipamentos</v>
      </c>
      <c r="B22" s="61"/>
      <c r="C22" s="35"/>
      <c r="D22" s="35"/>
      <c r="E22" s="37">
        <f>+F235</f>
        <v>17875.217241776914</v>
      </c>
      <c r="F22" s="44">
        <f t="shared" si="0"/>
        <v>0.2913874782937739</v>
      </c>
      <c r="G22" s="4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62" t="str">
        <f>A160</f>
        <v>3.1. Veículo Coletor Compactador 15 m³</v>
      </c>
      <c r="B23" s="63"/>
      <c r="C23" s="52"/>
      <c r="D23" s="52"/>
      <c r="E23" s="47">
        <f>SUM(E24:E29)</f>
        <v>17875.217241776914</v>
      </c>
      <c r="F23" s="49">
        <f t="shared" si="0"/>
        <v>0.2913874782937739</v>
      </c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69" t="s">
        <v>99</v>
      </c>
      <c r="B24" s="63"/>
      <c r="C24" s="52"/>
      <c r="D24" s="52"/>
      <c r="E24" s="47">
        <f>F176</f>
        <v>4117.688391766666</v>
      </c>
      <c r="F24" s="49">
        <f t="shared" si="0"/>
        <v>0.06712325901540551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69" t="s">
        <v>103</v>
      </c>
      <c r="B25" s="63"/>
      <c r="C25" s="52"/>
      <c r="D25" s="52"/>
      <c r="E25" s="47">
        <f>F192</f>
        <v>2613.118519074917</v>
      </c>
      <c r="F25" s="49">
        <f t="shared" si="0"/>
        <v>0.04259696570156537</v>
      </c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62" t="str">
        <f>A194</f>
        <v>3.1.3. Impostos e Seguros</v>
      </c>
      <c r="B26" s="63"/>
      <c r="C26" s="52"/>
      <c r="D26" s="52"/>
      <c r="E26" s="47">
        <f>F200</f>
        <v>1508.7833333333335</v>
      </c>
      <c r="F26" s="49">
        <f t="shared" si="0"/>
        <v>0.024594977775384587</v>
      </c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62" t="str">
        <f>A202</f>
        <v>3.1.4. Consumos</v>
      </c>
      <c r="B27" s="63"/>
      <c r="C27" s="52"/>
      <c r="D27" s="52"/>
      <c r="E27" s="47">
        <f>F218</f>
        <v>6626.644638642</v>
      </c>
      <c r="F27" s="49">
        <f t="shared" si="0"/>
        <v>0.10802225476119041</v>
      </c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>
      <c r="A28" s="271" t="str">
        <f>A220</f>
        <v>3.1.5. Manutenção - Dados de custo de manutenção por km rodado em contratos de coleta de RSU (Fonte: Licitacon, 2016)</v>
      </c>
      <c r="B28" s="270"/>
      <c r="C28" s="270"/>
      <c r="D28" s="272"/>
      <c r="E28" s="47">
        <f>F223</f>
        <v>2588.1425999999997</v>
      </c>
      <c r="F28" s="49">
        <f t="shared" si="0"/>
        <v>0.04218982826771642</v>
      </c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62" t="str">
        <f>A225</f>
        <v>3.1.6. Pneus</v>
      </c>
      <c r="B29" s="63"/>
      <c r="C29" s="52"/>
      <c r="D29" s="52"/>
      <c r="E29" s="47">
        <f>F232</f>
        <v>420.8397589599999</v>
      </c>
      <c r="F29" s="49">
        <f t="shared" si="0"/>
        <v>0.006860192772511673</v>
      </c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59" t="str">
        <f>A237</f>
        <v>4. Ferramentas e Materiais de Consumo</v>
      </c>
      <c r="B30" s="61"/>
      <c r="C30" s="35"/>
      <c r="D30" s="35"/>
      <c r="E30" s="37">
        <f>+F247</f>
        <v>33.25499999999998</v>
      </c>
      <c r="F30" s="44">
        <f t="shared" si="0"/>
        <v>0.0005420963818001793</v>
      </c>
      <c r="G30" s="4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9" t="str">
        <f>A249</f>
        <v>5. Monitoramento da Frota</v>
      </c>
      <c r="B31" s="61"/>
      <c r="C31" s="35"/>
      <c r="D31" s="35"/>
      <c r="E31" s="37">
        <f>+F258</f>
        <v>205</v>
      </c>
      <c r="F31" s="44">
        <f t="shared" si="0"/>
        <v>0.003341745850820533</v>
      </c>
      <c r="G31" s="4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9" t="str">
        <f>A262</f>
        <v>6. Benefícios e Despesas Indiretas - BDI</v>
      </c>
      <c r="B32" s="61"/>
      <c r="C32" s="35"/>
      <c r="D32" s="35"/>
      <c r="E32" s="76">
        <f>+F268</f>
        <v>13151.936178924918</v>
      </c>
      <c r="F32" s="44">
        <f t="shared" si="0"/>
        <v>0.2143923324691649</v>
      </c>
      <c r="G32" s="4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77" t="s">
        <v>104</v>
      </c>
      <c r="B33" s="78"/>
      <c r="C33" s="79"/>
      <c r="D33" s="79"/>
      <c r="E33" s="80">
        <f>E13+E21+E22+E30+E31+E32</f>
        <v>61345.17978070183</v>
      </c>
      <c r="F33" s="81">
        <f>F13+F21+F22+F30+F31+F32</f>
        <v>1</v>
      </c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4"/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4"/>
      <c r="E35" s="4"/>
      <c r="F35" s="4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65" t="s">
        <v>105</v>
      </c>
      <c r="B36" s="263"/>
      <c r="C36" s="263"/>
      <c r="D36" s="263"/>
      <c r="E36" s="266"/>
      <c r="F36" s="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62" t="s">
        <v>106</v>
      </c>
      <c r="B37" s="263"/>
      <c r="C37" s="263"/>
      <c r="D37" s="264"/>
      <c r="E37" s="82" t="s">
        <v>107</v>
      </c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83" t="str">
        <f>+A52</f>
        <v>1.1. Coletor Turno Dia - Referência SEEAC - RS - Convenção Coletiva do Trabalho 2019, TEM: RS 000092/2019, encontrado em www3.mte.gov.br/sistema/mediador</v>
      </c>
      <c r="B38" s="23"/>
      <c r="C38" s="23"/>
      <c r="D38" s="84"/>
      <c r="E38" s="85">
        <f>C59</f>
        <v>6</v>
      </c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51" t="str">
        <f>+A62</f>
        <v>1.2. Coletor Turno Noite</v>
      </c>
      <c r="B39" s="52"/>
      <c r="C39" s="52"/>
      <c r="D39" s="86"/>
      <c r="E39" s="87">
        <f>C71</f>
        <v>0</v>
      </c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51" t="str">
        <f>+A74</f>
        <v>1.3. Motorista Turno do Dia. Referência: Acord Sind. Trab. Transp. Rod. Bagé e SETCESUL - Proc. Nº 0020997-41.2018.5.04.000 RVDC</v>
      </c>
      <c r="B40" s="52"/>
      <c r="C40" s="52"/>
      <c r="D40" s="86"/>
      <c r="E40" s="87">
        <f>C83</f>
        <v>2</v>
      </c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51" t="str">
        <f>+A86</f>
        <v>1.4. Motorista Turno Noite</v>
      </c>
      <c r="B41" s="52"/>
      <c r="C41" s="52"/>
      <c r="D41" s="86"/>
      <c r="E41" s="87">
        <f>C97</f>
        <v>0</v>
      </c>
      <c r="F41" s="4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88" t="s">
        <v>108</v>
      </c>
      <c r="B42" s="89"/>
      <c r="C42" s="89"/>
      <c r="D42" s="90"/>
      <c r="E42" s="91">
        <f>SUM(E38:E41)</f>
        <v>8</v>
      </c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92"/>
      <c r="B43" s="93"/>
      <c r="C43" s="4"/>
      <c r="D43" s="4"/>
      <c r="E43" s="16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51" t="s">
        <v>109</v>
      </c>
      <c r="B44" s="252"/>
      <c r="C44" s="252"/>
      <c r="D44" s="253"/>
      <c r="E44" s="82" t="s">
        <v>107</v>
      </c>
      <c r="F44" s="2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94" t="str">
        <f>+A160</f>
        <v>3.1. Veículo Coletor Compactador 15 m³</v>
      </c>
      <c r="B45" s="95"/>
      <c r="C45" s="95"/>
      <c r="D45" s="96"/>
      <c r="E45" s="97">
        <f>C175</f>
        <v>2</v>
      </c>
      <c r="F45" s="2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4"/>
      <c r="B46" s="4"/>
      <c r="C46" s="4"/>
      <c r="D46" s="2"/>
      <c r="E46" s="98"/>
      <c r="F46" s="2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4"/>
      <c r="B47" s="4"/>
      <c r="C47" s="4"/>
      <c r="D47" s="2"/>
      <c r="E47" s="99"/>
      <c r="F47" s="2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00" t="s">
        <v>110</v>
      </c>
      <c r="B48" s="101">
        <v>1</v>
      </c>
      <c r="C48" s="45"/>
      <c r="D48" s="1"/>
      <c r="E48" s="102"/>
      <c r="F48" s="1"/>
      <c r="G48" s="4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4"/>
      <c r="B49" s="4"/>
      <c r="C49" s="4"/>
      <c r="D49" s="2"/>
      <c r="E49" s="99"/>
      <c r="F49" s="2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" t="s">
        <v>111</v>
      </c>
      <c r="B50" s="2"/>
      <c r="C50" s="2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>
      <c r="A51" s="2"/>
      <c r="B51" s="2"/>
      <c r="C51" s="2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 customHeight="1">
      <c r="A52" s="254" t="s">
        <v>112</v>
      </c>
      <c r="B52" s="255"/>
      <c r="C52" s="255"/>
      <c r="D52" s="255"/>
      <c r="E52" s="255"/>
      <c r="F52" s="255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03" t="s">
        <v>113</v>
      </c>
      <c r="B53" s="104" t="s">
        <v>114</v>
      </c>
      <c r="C53" s="104" t="s">
        <v>107</v>
      </c>
      <c r="D53" s="105" t="s">
        <v>115</v>
      </c>
      <c r="E53" s="105" t="s">
        <v>116</v>
      </c>
      <c r="F53" s="106" t="s">
        <v>117</v>
      </c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07" t="s">
        <v>118</v>
      </c>
      <c r="B54" s="108" t="s">
        <v>119</v>
      </c>
      <c r="C54" s="108">
        <v>1</v>
      </c>
      <c r="D54" s="109">
        <v>1278.2</v>
      </c>
      <c r="E54" s="109">
        <f>C54*D54</f>
        <v>1278.2</v>
      </c>
      <c r="F54" s="4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10" t="s">
        <v>120</v>
      </c>
      <c r="B55" s="111" t="s">
        <v>50</v>
      </c>
      <c r="C55" s="111">
        <v>40</v>
      </c>
      <c r="D55" s="112">
        <f>SUM(E54)</f>
        <v>1278.2</v>
      </c>
      <c r="E55" s="112">
        <f>C55*D55/100</f>
        <v>511.28</v>
      </c>
      <c r="F55" s="4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13" t="s">
        <v>121</v>
      </c>
      <c r="B56" s="114"/>
      <c r="C56" s="114"/>
      <c r="D56" s="115"/>
      <c r="E56" s="116">
        <f>SUM(E54:E55)</f>
        <v>1789.48</v>
      </c>
      <c r="F56" s="4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10" t="s">
        <v>122</v>
      </c>
      <c r="B57" s="111" t="s">
        <v>50</v>
      </c>
      <c r="C57" s="112">
        <f>'2.Encargos Sociais'!$C$34*100</f>
        <v>74.95</v>
      </c>
      <c r="D57" s="112">
        <f>E56</f>
        <v>1789.48</v>
      </c>
      <c r="E57" s="112">
        <f>D57*C57/100</f>
        <v>1341.2152600000002</v>
      </c>
      <c r="F57" s="4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13" t="s">
        <v>123</v>
      </c>
      <c r="B58" s="114"/>
      <c r="C58" s="114"/>
      <c r="D58" s="115"/>
      <c r="E58" s="116">
        <f>E56+E57</f>
        <v>3130.6952600000004</v>
      </c>
      <c r="F58" s="4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10" t="s">
        <v>124</v>
      </c>
      <c r="B59" s="111" t="s">
        <v>125</v>
      </c>
      <c r="C59" s="111">
        <v>6</v>
      </c>
      <c r="D59" s="112">
        <f>E58</f>
        <v>3130.6952600000004</v>
      </c>
      <c r="E59" s="112">
        <f>C59*D59</f>
        <v>18784.171560000003</v>
      </c>
      <c r="F59" s="4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117" t="s">
        <v>126</v>
      </c>
      <c r="E60" s="118">
        <f>$B$48</f>
        <v>1</v>
      </c>
      <c r="F60" s="119">
        <f>E59*E60</f>
        <v>18784.171560000003</v>
      </c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>
      <c r="A61" s="2"/>
      <c r="B61" s="2"/>
      <c r="C61" s="2"/>
      <c r="D61" s="4"/>
      <c r="E61" s="4"/>
      <c r="F61" s="4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 t="s">
        <v>127</v>
      </c>
      <c r="B62" s="2"/>
      <c r="C62" s="2"/>
      <c r="D62" s="4"/>
      <c r="E62" s="4"/>
      <c r="F62" s="4"/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03" t="s">
        <v>113</v>
      </c>
      <c r="B63" s="104" t="s">
        <v>114</v>
      </c>
      <c r="C63" s="104" t="s">
        <v>107</v>
      </c>
      <c r="D63" s="105" t="s">
        <v>115</v>
      </c>
      <c r="E63" s="105" t="s">
        <v>116</v>
      </c>
      <c r="F63" s="106" t="s">
        <v>128</v>
      </c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07" t="s">
        <v>118</v>
      </c>
      <c r="B64" s="108" t="s">
        <v>119</v>
      </c>
      <c r="C64" s="108">
        <v>1</v>
      </c>
      <c r="D64" s="109">
        <f>D54</f>
        <v>1278.2</v>
      </c>
      <c r="E64" s="109">
        <f>C64*D64</f>
        <v>1278.2</v>
      </c>
      <c r="F64" s="4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10" t="s">
        <v>129</v>
      </c>
      <c r="B65" s="111" t="s">
        <v>130</v>
      </c>
      <c r="C65" s="120">
        <v>0</v>
      </c>
      <c r="D65" s="112"/>
      <c r="E65" s="112"/>
      <c r="F65" s="4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110"/>
      <c r="B66" s="111" t="s">
        <v>131</v>
      </c>
      <c r="C66" s="120">
        <f>C65*8/7</f>
        <v>0</v>
      </c>
      <c r="D66" s="112">
        <f>D64/220*0.2</f>
        <v>1.1620000000000001</v>
      </c>
      <c r="E66" s="112">
        <f>C65*D66</f>
        <v>0</v>
      </c>
      <c r="F66" s="4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110" t="s">
        <v>120</v>
      </c>
      <c r="B67" s="111" t="s">
        <v>50</v>
      </c>
      <c r="C67" s="111">
        <f>+C55</f>
        <v>40</v>
      </c>
      <c r="D67" s="112">
        <f>SUM(E64:E66)</f>
        <v>1278.2</v>
      </c>
      <c r="E67" s="112">
        <f>C67*D67/100</f>
        <v>511.28</v>
      </c>
      <c r="F67" s="4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113" t="s">
        <v>121</v>
      </c>
      <c r="B68" s="114"/>
      <c r="C68" s="114"/>
      <c r="D68" s="115"/>
      <c r="E68" s="116">
        <f>SUM(E64:E67)</f>
        <v>1789.48</v>
      </c>
      <c r="F68" s="4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10" t="s">
        <v>122</v>
      </c>
      <c r="B69" s="111" t="s">
        <v>50</v>
      </c>
      <c r="C69" s="112">
        <f>'2.Encargos Sociais'!$C$34*100</f>
        <v>74.95</v>
      </c>
      <c r="D69" s="112">
        <f>E68</f>
        <v>1789.48</v>
      </c>
      <c r="E69" s="112">
        <f>D69*C69/100</f>
        <v>1341.2152600000002</v>
      </c>
      <c r="F69" s="4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13" t="s">
        <v>123</v>
      </c>
      <c r="B70" s="114"/>
      <c r="C70" s="114"/>
      <c r="D70" s="115"/>
      <c r="E70" s="116">
        <f>E68+E69</f>
        <v>3130.6952600000004</v>
      </c>
      <c r="F70" s="4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10" t="s">
        <v>124</v>
      </c>
      <c r="B71" s="111" t="s">
        <v>125</v>
      </c>
      <c r="C71" s="111">
        <v>0</v>
      </c>
      <c r="D71" s="112">
        <f>E70</f>
        <v>3130.6952600000004</v>
      </c>
      <c r="E71" s="112">
        <f>C71*D71</f>
        <v>0</v>
      </c>
      <c r="F71" s="4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117" t="s">
        <v>126</v>
      </c>
      <c r="E72" s="118">
        <f>$B$48</f>
        <v>1</v>
      </c>
      <c r="F72" s="119">
        <f>E71*E72</f>
        <v>0</v>
      </c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>
      <c r="A73" s="2"/>
      <c r="B73" s="2"/>
      <c r="C73" s="2"/>
      <c r="D73" s="4"/>
      <c r="E73" s="4"/>
      <c r="F73" s="4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 t="s">
        <v>132</v>
      </c>
      <c r="B74" s="2"/>
      <c r="C74" s="2"/>
      <c r="D74" s="4"/>
      <c r="E74" s="4"/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21" t="s">
        <v>113</v>
      </c>
      <c r="B75" s="122" t="s">
        <v>114</v>
      </c>
      <c r="C75" s="122" t="s">
        <v>107</v>
      </c>
      <c r="D75" s="123" t="s">
        <v>115</v>
      </c>
      <c r="E75" s="123" t="s">
        <v>116</v>
      </c>
      <c r="F75" s="124" t="s">
        <v>133</v>
      </c>
      <c r="G75" s="4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</row>
    <row r="76" spans="1:26" ht="12.75" customHeight="1">
      <c r="A76" s="107" t="s">
        <v>134</v>
      </c>
      <c r="B76" s="108" t="s">
        <v>119</v>
      </c>
      <c r="C76" s="108">
        <v>1</v>
      </c>
      <c r="D76" s="109">
        <v>1604</v>
      </c>
      <c r="E76" s="109">
        <f>C76*D76</f>
        <v>1604</v>
      </c>
      <c r="F76" s="4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107" t="s">
        <v>135</v>
      </c>
      <c r="B77" s="108" t="s">
        <v>119</v>
      </c>
      <c r="C77" s="108">
        <v>1</v>
      </c>
      <c r="D77" s="109">
        <v>998</v>
      </c>
      <c r="E77" s="109"/>
      <c r="F77" s="4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10" t="s">
        <v>136</v>
      </c>
      <c r="B78" s="111"/>
      <c r="C78" s="126">
        <v>1</v>
      </c>
      <c r="D78" s="112"/>
      <c r="E78" s="112"/>
      <c r="F78" s="4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10" t="s">
        <v>120</v>
      </c>
      <c r="B79" s="111" t="s">
        <v>50</v>
      </c>
      <c r="C79" s="127">
        <v>40</v>
      </c>
      <c r="D79" s="112">
        <f>IF(C78=2,SUM(E76:E77),IF(C78=1,(SUM(E76:E77))*D77/D76,0))</f>
        <v>998</v>
      </c>
      <c r="E79" s="112">
        <f>C79*D79/100</f>
        <v>399.2</v>
      </c>
      <c r="F79" s="4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28" t="s">
        <v>121</v>
      </c>
      <c r="B80" s="114"/>
      <c r="C80" s="114"/>
      <c r="D80" s="115"/>
      <c r="E80" s="129">
        <f>SUM(E76:E79)</f>
        <v>2003.2</v>
      </c>
      <c r="F80" s="45"/>
      <c r="G80" s="4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10" t="s">
        <v>122</v>
      </c>
      <c r="B81" s="111" t="s">
        <v>50</v>
      </c>
      <c r="C81" s="112">
        <f>'2.Encargos Sociais'!$C$34*100</f>
        <v>74.95</v>
      </c>
      <c r="D81" s="112">
        <f>E80</f>
        <v>2003.2</v>
      </c>
      <c r="E81" s="112">
        <f>D81*C81/100</f>
        <v>1501.3984</v>
      </c>
      <c r="F81" s="4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28" t="s">
        <v>137</v>
      </c>
      <c r="B82" s="130"/>
      <c r="C82" s="130"/>
      <c r="D82" s="131"/>
      <c r="E82" s="129">
        <f>E80+E81</f>
        <v>3504.5984</v>
      </c>
      <c r="F82" s="45"/>
      <c r="G82" s="4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10" t="s">
        <v>124</v>
      </c>
      <c r="B83" s="111" t="s">
        <v>125</v>
      </c>
      <c r="C83" s="111">
        <v>2</v>
      </c>
      <c r="D83" s="112">
        <f>E82</f>
        <v>3504.5984</v>
      </c>
      <c r="E83" s="112">
        <f>C83*D83</f>
        <v>7009.1968</v>
      </c>
      <c r="F83" s="4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117" t="s">
        <v>126</v>
      </c>
      <c r="E84" s="118">
        <f>$B$48</f>
        <v>1</v>
      </c>
      <c r="F84" s="119">
        <f>E83*E84</f>
        <v>7009.1968</v>
      </c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>
      <c r="A85" s="2"/>
      <c r="B85" s="2"/>
      <c r="C85" s="2"/>
      <c r="D85" s="4"/>
      <c r="E85" s="4"/>
      <c r="F85" s="4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 t="s">
        <v>138</v>
      </c>
      <c r="B86" s="2"/>
      <c r="C86" s="2"/>
      <c r="D86" s="4"/>
      <c r="E86" s="4"/>
      <c r="F86" s="4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21" t="s">
        <v>113</v>
      </c>
      <c r="B87" s="122" t="s">
        <v>114</v>
      </c>
      <c r="C87" s="122" t="s">
        <v>107</v>
      </c>
      <c r="D87" s="123" t="s">
        <v>115</v>
      </c>
      <c r="E87" s="123" t="s">
        <v>116</v>
      </c>
      <c r="F87" s="124" t="s">
        <v>139</v>
      </c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07" t="s">
        <v>118</v>
      </c>
      <c r="B88" s="108" t="s">
        <v>119</v>
      </c>
      <c r="C88" s="108">
        <v>1</v>
      </c>
      <c r="D88" s="109">
        <f>D76</f>
        <v>1604</v>
      </c>
      <c r="E88" s="109">
        <f>C88*D88</f>
        <v>1604</v>
      </c>
      <c r="F88" s="4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07" t="s">
        <v>140</v>
      </c>
      <c r="B89" s="108" t="s">
        <v>119</v>
      </c>
      <c r="C89" s="108">
        <v>1</v>
      </c>
      <c r="D89" s="112">
        <f>D77</f>
        <v>998</v>
      </c>
      <c r="E89" s="112"/>
      <c r="F89" s="4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110" t="s">
        <v>129</v>
      </c>
      <c r="B90" s="111" t="s">
        <v>130</v>
      </c>
      <c r="C90" s="120"/>
      <c r="D90" s="110"/>
      <c r="E90" s="110"/>
      <c r="F90" s="4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110"/>
      <c r="B91" s="111" t="s">
        <v>131</v>
      </c>
      <c r="C91" s="112">
        <f>C90*8/7</f>
        <v>0</v>
      </c>
      <c r="D91" s="112">
        <f>D88/220*0.2</f>
        <v>1.4581818181818182</v>
      </c>
      <c r="E91" s="112">
        <f>C90*D91</f>
        <v>0</v>
      </c>
      <c r="F91" s="4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110" t="s">
        <v>136</v>
      </c>
      <c r="B92" s="111"/>
      <c r="C92" s="126"/>
      <c r="D92" s="112"/>
      <c r="E92" s="112"/>
      <c r="F92" s="4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110" t="s">
        <v>120</v>
      </c>
      <c r="B93" s="111" t="s">
        <v>50</v>
      </c>
      <c r="C93" s="112">
        <f>+C79</f>
        <v>40</v>
      </c>
      <c r="D93" s="112">
        <f>IF(C92=2,SUM(E88:E91),IF(C92=1,SUM(E88:E91)*D89/D88,0))</f>
        <v>0</v>
      </c>
      <c r="E93" s="112">
        <f>C93*D93/100</f>
        <v>0</v>
      </c>
      <c r="F93" s="4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113" t="s">
        <v>121</v>
      </c>
      <c r="B94" s="114"/>
      <c r="C94" s="114"/>
      <c r="D94" s="115"/>
      <c r="E94" s="116">
        <f>SUM(E88:E93)</f>
        <v>1604</v>
      </c>
      <c r="F94" s="45"/>
      <c r="G94" s="4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10" t="s">
        <v>122</v>
      </c>
      <c r="B95" s="111" t="s">
        <v>50</v>
      </c>
      <c r="C95" s="112">
        <f>'2.Encargos Sociais'!$C$34*100</f>
        <v>74.95</v>
      </c>
      <c r="D95" s="112">
        <f>E94</f>
        <v>1604</v>
      </c>
      <c r="E95" s="112">
        <f>D95*C95/100</f>
        <v>1202.198</v>
      </c>
      <c r="F95" s="4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113" t="s">
        <v>137</v>
      </c>
      <c r="B96" s="114"/>
      <c r="C96" s="114"/>
      <c r="D96" s="115"/>
      <c r="E96" s="116">
        <f>E94+E95</f>
        <v>2806.1980000000003</v>
      </c>
      <c r="F96" s="45"/>
      <c r="G96" s="4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10" t="s">
        <v>124</v>
      </c>
      <c r="B97" s="111" t="s">
        <v>125</v>
      </c>
      <c r="C97" s="111">
        <v>0</v>
      </c>
      <c r="D97" s="112">
        <f>E96</f>
        <v>2806.1980000000003</v>
      </c>
      <c r="E97" s="112">
        <f>C97*D97</f>
        <v>0</v>
      </c>
      <c r="F97" s="4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117" t="s">
        <v>126</v>
      </c>
      <c r="E98" s="118">
        <f>$B$48</f>
        <v>1</v>
      </c>
      <c r="F98" s="119">
        <f>E97*E98</f>
        <v>0</v>
      </c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4"/>
      <c r="E99" s="4"/>
      <c r="F99" s="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 t="s">
        <v>141</v>
      </c>
      <c r="B100" s="132"/>
      <c r="C100" s="2"/>
      <c r="D100" s="2"/>
      <c r="E100" s="2"/>
      <c r="F100" s="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03" t="s">
        <v>113</v>
      </c>
      <c r="B101" s="104" t="s">
        <v>114</v>
      </c>
      <c r="C101" s="104" t="s">
        <v>107</v>
      </c>
      <c r="D101" s="105" t="s">
        <v>115</v>
      </c>
      <c r="E101" s="105" t="s">
        <v>116</v>
      </c>
      <c r="F101" s="106" t="s">
        <v>142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110" t="s">
        <v>143</v>
      </c>
      <c r="B102" s="111" t="s">
        <v>144</v>
      </c>
      <c r="C102" s="133">
        <v>1</v>
      </c>
      <c r="D102" s="4">
        <v>3</v>
      </c>
      <c r="E102" s="112"/>
      <c r="F102" s="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110" t="s">
        <v>145</v>
      </c>
      <c r="B103" s="111" t="s">
        <v>146</v>
      </c>
      <c r="C103" s="2">
        <v>26</v>
      </c>
      <c r="D103" s="112"/>
      <c r="E103" s="112"/>
      <c r="F103" s="4"/>
      <c r="G103" s="2"/>
      <c r="H103" s="2" t="s">
        <v>53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110" t="s">
        <v>147</v>
      </c>
      <c r="B104" s="111" t="s">
        <v>148</v>
      </c>
      <c r="C104" s="134">
        <f>$C$103*2*(C59+C71)</f>
        <v>312</v>
      </c>
      <c r="D104" s="109">
        <f>_xlfn.IFERROR((($C$103*2*$D$102)-(E54*0.06))/($C$103*2),"-")</f>
        <v>1.5251538461538463</v>
      </c>
      <c r="E104" s="112">
        <f>_xlfn.IFERROR(C104*D104,"-")</f>
        <v>475.84800000000007</v>
      </c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107" t="s">
        <v>149</v>
      </c>
      <c r="B105" s="108" t="s">
        <v>148</v>
      </c>
      <c r="C105" s="134">
        <f>$C$103*2*(C83+C97)</f>
        <v>104</v>
      </c>
      <c r="D105" s="109">
        <f>_xlfn.IFERROR((($C$103*2*$D$102)-(E76*0.06))/($C$103*2),"-")</f>
        <v>1.1492307692307693</v>
      </c>
      <c r="E105" s="109">
        <f>_xlfn.IFERROR(C105*D105,"-")</f>
        <v>119.52000000000001</v>
      </c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4"/>
      <c r="E106" s="4"/>
      <c r="F106" s="135">
        <f>SUM(E104:E105)</f>
        <v>595.368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4"/>
      <c r="E107" s="4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4"/>
      <c r="E108" s="4"/>
      <c r="F108" s="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 t="s">
        <v>150</v>
      </c>
      <c r="B109" s="2"/>
      <c r="C109" s="2"/>
      <c r="D109" s="4"/>
      <c r="E109" s="4"/>
      <c r="F109" s="4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 t="s">
        <v>151</v>
      </c>
      <c r="B110" s="2"/>
      <c r="C110" s="2"/>
      <c r="D110" s="4"/>
      <c r="E110" s="4"/>
      <c r="F110" s="4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103" t="s">
        <v>113</v>
      </c>
      <c r="B111" s="104" t="s">
        <v>114</v>
      </c>
      <c r="C111" s="104" t="s">
        <v>107</v>
      </c>
      <c r="D111" s="105" t="s">
        <v>115</v>
      </c>
      <c r="E111" s="105" t="s">
        <v>116</v>
      </c>
      <c r="F111" s="106" t="s">
        <v>152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110" t="str">
        <f>+A104</f>
        <v>Coletor</v>
      </c>
      <c r="B112" s="111" t="s">
        <v>153</v>
      </c>
      <c r="C112" s="134">
        <f>C103*(E38+E39)</f>
        <v>156</v>
      </c>
      <c r="D112" s="112">
        <v>16.73</v>
      </c>
      <c r="E112" s="118">
        <f>C112*D112</f>
        <v>2609.88</v>
      </c>
      <c r="F112" s="4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110" t="str">
        <f>+A105</f>
        <v>Motorista</v>
      </c>
      <c r="B113" s="111" t="s">
        <v>153</v>
      </c>
      <c r="C113" s="134">
        <f>C103*(E40+E41)</f>
        <v>52</v>
      </c>
      <c r="D113" s="136">
        <v>0</v>
      </c>
      <c r="E113" s="118">
        <f>C113*D113</f>
        <v>0</v>
      </c>
      <c r="F113" s="4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4"/>
      <c r="E114" s="4"/>
      <c r="F114" s="135">
        <f>SUM(E112:E113)</f>
        <v>2609.88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4"/>
      <c r="E115" s="4"/>
      <c r="F115" s="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 t="s">
        <v>154</v>
      </c>
      <c r="B116" s="2"/>
      <c r="C116" s="2"/>
      <c r="D116" s="4"/>
      <c r="E116" s="4"/>
      <c r="F116" s="4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103" t="s">
        <v>113</v>
      </c>
      <c r="B117" s="104" t="s">
        <v>114</v>
      </c>
      <c r="C117" s="104" t="s">
        <v>107</v>
      </c>
      <c r="D117" s="105" t="s">
        <v>115</v>
      </c>
      <c r="E117" s="105" t="s">
        <v>116</v>
      </c>
      <c r="F117" s="106" t="s">
        <v>155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110" t="str">
        <f>+A112</f>
        <v>Coletor</v>
      </c>
      <c r="B118" s="111" t="s">
        <v>153</v>
      </c>
      <c r="C118" s="134">
        <f>E38+E39</f>
        <v>6</v>
      </c>
      <c r="D118" s="112">
        <v>0</v>
      </c>
      <c r="E118" s="118">
        <f>C118*D118</f>
        <v>0</v>
      </c>
      <c r="F118" s="45"/>
      <c r="G118" s="2"/>
      <c r="H118" s="2"/>
      <c r="I118" s="2" t="s">
        <v>53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110" t="str">
        <f>+A113</f>
        <v>Motorista</v>
      </c>
      <c r="B119" s="111" t="s">
        <v>153</v>
      </c>
      <c r="C119" s="134">
        <f>E40+E41</f>
        <v>2</v>
      </c>
      <c r="D119" s="112">
        <v>0</v>
      </c>
      <c r="E119" s="118">
        <f>C119*D119</f>
        <v>0</v>
      </c>
      <c r="F119" s="4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117" t="s">
        <v>126</v>
      </c>
      <c r="E120" s="118">
        <f>$B$48</f>
        <v>1</v>
      </c>
      <c r="F120" s="135">
        <f>SUM(E118:E119)*E120</f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4"/>
      <c r="E121" s="4"/>
      <c r="F121" s="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37" t="s">
        <v>156</v>
      </c>
      <c r="B122" s="138"/>
      <c r="C122" s="138"/>
      <c r="D122" s="79"/>
      <c r="E122" s="139"/>
      <c r="F122" s="140">
        <f>F120+F114+F106+F98+F84+F72+F60</f>
        <v>28998.61636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4"/>
      <c r="E123" s="4"/>
      <c r="F123" s="4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" t="s">
        <v>157</v>
      </c>
      <c r="B124" s="2"/>
      <c r="C124" s="2"/>
      <c r="D124" s="4"/>
      <c r="E124" s="4"/>
      <c r="F124" s="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4"/>
      <c r="E125" s="4"/>
      <c r="F125" s="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 t="s">
        <v>158</v>
      </c>
      <c r="B126" s="2"/>
      <c r="C126" s="2"/>
      <c r="D126" s="4"/>
      <c r="E126" s="4"/>
      <c r="F126" s="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4"/>
      <c r="E127" s="4"/>
      <c r="F127" s="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7.75" customHeight="1">
      <c r="A128" s="103" t="s">
        <v>113</v>
      </c>
      <c r="B128" s="104" t="s">
        <v>114</v>
      </c>
      <c r="C128" s="141" t="s">
        <v>159</v>
      </c>
      <c r="D128" s="105" t="s">
        <v>115</v>
      </c>
      <c r="E128" s="105" t="s">
        <v>116</v>
      </c>
      <c r="F128" s="106" t="s">
        <v>160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07" t="s">
        <v>161</v>
      </c>
      <c r="B129" s="108" t="s">
        <v>153</v>
      </c>
      <c r="C129" s="142">
        <v>12</v>
      </c>
      <c r="D129" s="109">
        <v>22.99</v>
      </c>
      <c r="E129" s="109">
        <f aca="true" t="shared" si="1" ref="E129:E138">_xlfn.IFERROR(D129/C129,0)</f>
        <v>1.9158333333333333</v>
      </c>
      <c r="F129" s="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110" t="s">
        <v>162</v>
      </c>
      <c r="B130" s="111" t="s">
        <v>153</v>
      </c>
      <c r="C130" s="142">
        <v>6</v>
      </c>
      <c r="D130" s="109">
        <v>44.96</v>
      </c>
      <c r="E130" s="109">
        <f t="shared" si="1"/>
        <v>7.493333333333333</v>
      </c>
      <c r="F130" s="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110" t="s">
        <v>163</v>
      </c>
      <c r="B131" s="111" t="s">
        <v>153</v>
      </c>
      <c r="C131" s="142">
        <v>6</v>
      </c>
      <c r="D131" s="109">
        <v>20.48</v>
      </c>
      <c r="E131" s="109">
        <f t="shared" si="1"/>
        <v>3.4133333333333336</v>
      </c>
      <c r="F131" s="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110" t="s">
        <v>164</v>
      </c>
      <c r="B132" s="111" t="s">
        <v>153</v>
      </c>
      <c r="C132" s="142">
        <v>12</v>
      </c>
      <c r="D132" s="109">
        <v>11.68</v>
      </c>
      <c r="E132" s="109">
        <f t="shared" si="1"/>
        <v>0.9733333333333333</v>
      </c>
      <c r="F132" s="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10" t="s">
        <v>165</v>
      </c>
      <c r="B133" s="111" t="s">
        <v>166</v>
      </c>
      <c r="C133" s="142">
        <v>6</v>
      </c>
      <c r="D133" s="109">
        <v>67.66</v>
      </c>
      <c r="E133" s="109">
        <f t="shared" si="1"/>
        <v>11.276666666666666</v>
      </c>
      <c r="F133" s="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110" t="s">
        <v>167</v>
      </c>
      <c r="B134" s="111" t="s">
        <v>166</v>
      </c>
      <c r="C134" s="142">
        <v>2</v>
      </c>
      <c r="D134" s="109">
        <v>7.07</v>
      </c>
      <c r="E134" s="109">
        <f t="shared" si="1"/>
        <v>3.535</v>
      </c>
      <c r="F134" s="4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110" t="s">
        <v>168</v>
      </c>
      <c r="B135" s="111" t="s">
        <v>153</v>
      </c>
      <c r="C135" s="142">
        <v>12</v>
      </c>
      <c r="D135" s="109">
        <v>26.5</v>
      </c>
      <c r="E135" s="109">
        <f t="shared" si="1"/>
        <v>2.2083333333333335</v>
      </c>
      <c r="F135" s="4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143" t="s">
        <v>169</v>
      </c>
      <c r="B136" s="144" t="s">
        <v>153</v>
      </c>
      <c r="C136" s="142">
        <v>12</v>
      </c>
      <c r="D136" s="109">
        <v>26.33</v>
      </c>
      <c r="E136" s="109">
        <f t="shared" si="1"/>
        <v>2.1941666666666664</v>
      </c>
      <c r="F136" s="145"/>
      <c r="G136" s="14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10" t="s">
        <v>170</v>
      </c>
      <c r="B137" s="111" t="s">
        <v>166</v>
      </c>
      <c r="C137" s="142">
        <v>3</v>
      </c>
      <c r="D137" s="109">
        <v>9.01</v>
      </c>
      <c r="E137" s="109">
        <f t="shared" si="1"/>
        <v>3.0033333333333334</v>
      </c>
      <c r="F137" s="4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10" t="s">
        <v>171</v>
      </c>
      <c r="B138" s="111" t="s">
        <v>172</v>
      </c>
      <c r="C138" s="142">
        <v>1</v>
      </c>
      <c r="D138" s="109">
        <v>12.08</v>
      </c>
      <c r="E138" s="109">
        <f t="shared" si="1"/>
        <v>12.08</v>
      </c>
      <c r="F138" s="4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10" t="s">
        <v>173</v>
      </c>
      <c r="B139" s="111" t="s">
        <v>174</v>
      </c>
      <c r="C139" s="126">
        <v>1</v>
      </c>
      <c r="D139" s="146">
        <v>95.56</v>
      </c>
      <c r="E139" s="112">
        <f>C139*D139</f>
        <v>95.56</v>
      </c>
      <c r="F139" s="4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110" t="s">
        <v>124</v>
      </c>
      <c r="B140" s="111" t="s">
        <v>125</v>
      </c>
      <c r="C140" s="126">
        <f>E38+E39</f>
        <v>6</v>
      </c>
      <c r="D140" s="112">
        <f>+SUM(E129:E139)</f>
        <v>143.65333333333334</v>
      </c>
      <c r="E140" s="112">
        <f>C140*D140</f>
        <v>861.9200000000001</v>
      </c>
      <c r="F140" s="4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117" t="s">
        <v>126</v>
      </c>
      <c r="E141" s="118">
        <f>$B$48</f>
        <v>1</v>
      </c>
      <c r="F141" s="147">
        <f>E140*E141</f>
        <v>861.9200000000001</v>
      </c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4"/>
      <c r="E142" s="4"/>
      <c r="F142" s="4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 t="s">
        <v>175</v>
      </c>
      <c r="B143" s="2"/>
      <c r="C143" s="2"/>
      <c r="D143" s="4"/>
      <c r="E143" s="4"/>
      <c r="F143" s="4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4"/>
      <c r="E144" s="4"/>
      <c r="F144" s="4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103" t="s">
        <v>113</v>
      </c>
      <c r="B145" s="104" t="s">
        <v>114</v>
      </c>
      <c r="C145" s="141" t="s">
        <v>159</v>
      </c>
      <c r="D145" s="105" t="s">
        <v>115</v>
      </c>
      <c r="E145" s="105" t="s">
        <v>116</v>
      </c>
      <c r="F145" s="106" t="s">
        <v>176</v>
      </c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07" t="s">
        <v>161</v>
      </c>
      <c r="B146" s="108" t="s">
        <v>153</v>
      </c>
      <c r="C146" s="142">
        <v>12</v>
      </c>
      <c r="D146" s="109">
        <f>+D129</f>
        <v>22.99</v>
      </c>
      <c r="E146" s="109">
        <f aca="true" t="shared" si="2" ref="E146:E151">_xlfn.IFERROR(D146/C146,0)</f>
        <v>1.9158333333333333</v>
      </c>
      <c r="F146" s="4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10" t="s">
        <v>162</v>
      </c>
      <c r="B147" s="111" t="s">
        <v>153</v>
      </c>
      <c r="C147" s="142">
        <v>6</v>
      </c>
      <c r="D147" s="112">
        <f>+D130</f>
        <v>44.96</v>
      </c>
      <c r="E147" s="109">
        <f t="shared" si="2"/>
        <v>7.493333333333333</v>
      </c>
      <c r="F147" s="4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110" t="s">
        <v>163</v>
      </c>
      <c r="B148" s="111" t="s">
        <v>153</v>
      </c>
      <c r="C148" s="142">
        <v>6</v>
      </c>
      <c r="D148" s="112">
        <f>+D131</f>
        <v>20.48</v>
      </c>
      <c r="E148" s="109">
        <f t="shared" si="2"/>
        <v>3.4133333333333336</v>
      </c>
      <c r="F148" s="4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110" t="s">
        <v>177</v>
      </c>
      <c r="B149" s="111" t="s">
        <v>166</v>
      </c>
      <c r="C149" s="142">
        <v>6</v>
      </c>
      <c r="D149" s="112">
        <f>+D133</f>
        <v>67.66</v>
      </c>
      <c r="E149" s="109">
        <f t="shared" si="2"/>
        <v>11.276666666666666</v>
      </c>
      <c r="F149" s="4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110" t="s">
        <v>168</v>
      </c>
      <c r="B150" s="111" t="s">
        <v>153</v>
      </c>
      <c r="C150" s="142">
        <v>12</v>
      </c>
      <c r="D150" s="112">
        <f>+D135</f>
        <v>26.5</v>
      </c>
      <c r="E150" s="109">
        <f t="shared" si="2"/>
        <v>2.2083333333333335</v>
      </c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110" t="s">
        <v>171</v>
      </c>
      <c r="B151" s="111" t="s">
        <v>172</v>
      </c>
      <c r="C151" s="142">
        <v>1</v>
      </c>
      <c r="D151" s="112">
        <f>+D138</f>
        <v>12.08</v>
      </c>
      <c r="E151" s="109">
        <f t="shared" si="2"/>
        <v>12.08</v>
      </c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110" t="s">
        <v>173</v>
      </c>
      <c r="B152" s="111" t="s">
        <v>174</v>
      </c>
      <c r="C152" s="126">
        <v>1</v>
      </c>
      <c r="D152" s="146">
        <v>71.23</v>
      </c>
      <c r="E152" s="112">
        <f>C152*D152</f>
        <v>71.23</v>
      </c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10" t="s">
        <v>124</v>
      </c>
      <c r="B153" s="111" t="s">
        <v>125</v>
      </c>
      <c r="C153" s="126">
        <f>E40+E41</f>
        <v>2</v>
      </c>
      <c r="D153" s="112">
        <f>+SUM(E146:E152)</f>
        <v>109.6175</v>
      </c>
      <c r="E153" s="112">
        <f>C153*D153</f>
        <v>219.235</v>
      </c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117" t="s">
        <v>126</v>
      </c>
      <c r="E154" s="118">
        <f>$B$48</f>
        <v>1</v>
      </c>
      <c r="F154" s="147">
        <f>E153*E154</f>
        <v>219.235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4"/>
      <c r="E155" s="4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137" t="s">
        <v>178</v>
      </c>
      <c r="B156" s="148"/>
      <c r="C156" s="148"/>
      <c r="D156" s="150"/>
      <c r="E156" s="152"/>
      <c r="F156" s="153">
        <f>+F141+F154</f>
        <v>1081.1550000000002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4"/>
      <c r="E157" s="4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" t="s">
        <v>181</v>
      </c>
      <c r="B158" s="2"/>
      <c r="C158" s="2"/>
      <c r="D158" s="4"/>
      <c r="E158" s="4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154"/>
      <c r="C159" s="2"/>
      <c r="D159" s="4"/>
      <c r="E159" s="4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 t="s">
        <v>182</v>
      </c>
      <c r="B160" s="2"/>
      <c r="C160" s="2"/>
      <c r="D160" s="4"/>
      <c r="E160" s="4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4"/>
      <c r="E161" s="4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154" t="s">
        <v>99</v>
      </c>
      <c r="B162" s="2"/>
      <c r="C162" s="2"/>
      <c r="D162" s="4"/>
      <c r="E162" s="4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103" t="s">
        <v>113</v>
      </c>
      <c r="B163" s="104" t="s">
        <v>114</v>
      </c>
      <c r="C163" s="104" t="s">
        <v>107</v>
      </c>
      <c r="D163" s="105" t="s">
        <v>115</v>
      </c>
      <c r="E163" s="105" t="s">
        <v>116</v>
      </c>
      <c r="F163" s="106" t="s">
        <v>184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107" t="s">
        <v>185</v>
      </c>
      <c r="B164" s="108" t="s">
        <v>153</v>
      </c>
      <c r="C164" s="108">
        <v>1</v>
      </c>
      <c r="D164" s="159">
        <v>234512</v>
      </c>
      <c r="E164" s="109">
        <f>C164*D164</f>
        <v>234512</v>
      </c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110" t="s">
        <v>188</v>
      </c>
      <c r="B165" s="111" t="s">
        <v>189</v>
      </c>
      <c r="C165" s="127">
        <v>8</v>
      </c>
      <c r="D165" s="112"/>
      <c r="E165" s="112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110" t="s">
        <v>191</v>
      </c>
      <c r="B166" s="111" t="s">
        <v>189</v>
      </c>
      <c r="C166" s="163">
        <v>0</v>
      </c>
      <c r="D166" s="112"/>
      <c r="E166" s="112"/>
      <c r="F166" s="164"/>
      <c r="G166" s="4"/>
      <c r="H166" s="2"/>
      <c r="I166" s="166"/>
      <c r="J166" s="16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110" t="s">
        <v>194</v>
      </c>
      <c r="B167" s="111" t="s">
        <v>50</v>
      </c>
      <c r="C167" s="168">
        <v>62.12</v>
      </c>
      <c r="D167" s="112">
        <f>E164</f>
        <v>234512</v>
      </c>
      <c r="E167" s="112">
        <f>C167*D167/100</f>
        <v>145678.85439999998</v>
      </c>
      <c r="F167" s="4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174" t="s">
        <v>196</v>
      </c>
      <c r="B168" s="178" t="s">
        <v>119</v>
      </c>
      <c r="C168" s="178">
        <f>C165*12</f>
        <v>96</v>
      </c>
      <c r="D168" s="181">
        <f>IF(C166&lt;=C165,E167,0)</f>
        <v>145678.85439999998</v>
      </c>
      <c r="E168" s="181">
        <f>_xlfn.IFERROR(D168/C168,0)</f>
        <v>1517.4880666666666</v>
      </c>
      <c r="F168" s="4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107" t="s">
        <v>210</v>
      </c>
      <c r="B169" s="108" t="s">
        <v>153</v>
      </c>
      <c r="C169" s="108">
        <f>C164</f>
        <v>1</v>
      </c>
      <c r="D169" s="146">
        <v>99666.67</v>
      </c>
      <c r="E169" s="109">
        <f>C169*D169</f>
        <v>99666.67</v>
      </c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110" t="s">
        <v>212</v>
      </c>
      <c r="B170" s="111" t="s">
        <v>189</v>
      </c>
      <c r="C170" s="111">
        <v>10</v>
      </c>
      <c r="D170" s="112"/>
      <c r="E170" s="112"/>
      <c r="F170" s="4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110" t="s">
        <v>213</v>
      </c>
      <c r="B171" s="111" t="s">
        <v>189</v>
      </c>
      <c r="C171" s="111">
        <v>0</v>
      </c>
      <c r="D171" s="112"/>
      <c r="E171" s="112"/>
      <c r="F171" s="164"/>
      <c r="G171" s="4"/>
      <c r="H171" s="2"/>
      <c r="I171" s="166"/>
      <c r="J171" s="16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110" t="s">
        <v>216</v>
      </c>
      <c r="B172" s="111" t="s">
        <v>50</v>
      </c>
      <c r="C172" s="168">
        <v>65.18</v>
      </c>
      <c r="D172" s="112">
        <f>E169</f>
        <v>99666.67</v>
      </c>
      <c r="E172" s="112">
        <f>C172*D172/100</f>
        <v>64962.735506000005</v>
      </c>
      <c r="F172" s="4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128" t="s">
        <v>218</v>
      </c>
      <c r="B173" s="163" t="s">
        <v>119</v>
      </c>
      <c r="C173" s="163">
        <f>C170*12</f>
        <v>120</v>
      </c>
      <c r="D173" s="129">
        <f>IF(C171&lt;=C170,E172,0)</f>
        <v>64962.735506000005</v>
      </c>
      <c r="E173" s="129">
        <f>_xlfn.IFERROR(D173/C173,0)</f>
        <v>541.3561292166667</v>
      </c>
      <c r="F173" s="4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113" t="s">
        <v>220</v>
      </c>
      <c r="B174" s="114"/>
      <c r="C174" s="114"/>
      <c r="D174" s="115"/>
      <c r="E174" s="116">
        <f>E168+E173</f>
        <v>2058.844195883333</v>
      </c>
      <c r="F174" s="4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128" t="s">
        <v>221</v>
      </c>
      <c r="B175" s="163" t="s">
        <v>153</v>
      </c>
      <c r="C175" s="111">
        <v>2</v>
      </c>
      <c r="D175" s="129">
        <f>E174</f>
        <v>2058.844195883333</v>
      </c>
      <c r="E175" s="116">
        <f>C175*D175</f>
        <v>4117.688391766666</v>
      </c>
      <c r="F175" s="4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192"/>
      <c r="B176" s="192"/>
      <c r="C176" s="192"/>
      <c r="D176" s="117" t="s">
        <v>126</v>
      </c>
      <c r="E176" s="118">
        <f>$B$48</f>
        <v>1</v>
      </c>
      <c r="F176" s="153">
        <f>E175*E176</f>
        <v>4117.688391766666</v>
      </c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4"/>
      <c r="E177" s="4"/>
      <c r="F177" s="4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154" t="s">
        <v>103</v>
      </c>
      <c r="B178" s="2"/>
      <c r="C178" s="2"/>
      <c r="D178" s="4"/>
      <c r="E178" s="4"/>
      <c r="F178" s="4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198" t="s">
        <v>113</v>
      </c>
      <c r="B179" s="199" t="s">
        <v>114</v>
      </c>
      <c r="C179" s="199" t="s">
        <v>107</v>
      </c>
      <c r="D179" s="105" t="s">
        <v>115</v>
      </c>
      <c r="E179" s="201" t="s">
        <v>116</v>
      </c>
      <c r="F179" s="106" t="s">
        <v>225</v>
      </c>
      <c r="G179" s="4"/>
      <c r="H179" s="2"/>
      <c r="I179" s="166"/>
      <c r="J179" s="16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110" t="s">
        <v>226</v>
      </c>
      <c r="B180" s="111" t="s">
        <v>153</v>
      </c>
      <c r="C180" s="108">
        <v>1</v>
      </c>
      <c r="D180" s="112">
        <f>D164</f>
        <v>234512</v>
      </c>
      <c r="E180" s="112">
        <f>C180*D180</f>
        <v>234512</v>
      </c>
      <c r="F180" s="164"/>
      <c r="G180" s="4"/>
      <c r="H180" s="2"/>
      <c r="I180" s="166"/>
      <c r="J180" s="16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10" t="s">
        <v>227</v>
      </c>
      <c r="B181" s="111" t="s">
        <v>50</v>
      </c>
      <c r="C181" s="111">
        <v>6.5</v>
      </c>
      <c r="D181" s="112"/>
      <c r="E181" s="112"/>
      <c r="F181" s="164"/>
      <c r="G181" s="4"/>
      <c r="H181" s="2"/>
      <c r="I181" s="166"/>
      <c r="J181" s="16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110" t="s">
        <v>228</v>
      </c>
      <c r="B182" s="111" t="s">
        <v>144</v>
      </c>
      <c r="C182" s="112">
        <f>_xlfn.IFERROR(IF(C166&lt;=C165,E164-(C167/(100*C165)*C166)*E164,E164-E167),0)</f>
        <v>234512</v>
      </c>
      <c r="D182" s="112"/>
      <c r="E182" s="112"/>
      <c r="F182" s="164"/>
      <c r="G182" s="4"/>
      <c r="H182" s="2"/>
      <c r="I182" s="166"/>
      <c r="J182" s="16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10" t="s">
        <v>229</v>
      </c>
      <c r="B183" s="111" t="s">
        <v>144</v>
      </c>
      <c r="C183" s="112">
        <f>_xlfn.IFERROR(IF(C166&gt;=C165,C182,((((C182)-(E164-E167))*(((C165-C166)+1)/(2*(C165-C166))))+(E164-E167))),0)</f>
        <v>170777.5012</v>
      </c>
      <c r="D183" s="112"/>
      <c r="E183" s="112"/>
      <c r="F183" s="164"/>
      <c r="G183" s="4"/>
      <c r="H183" s="2"/>
      <c r="I183" s="166"/>
      <c r="J183" s="16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174" t="s">
        <v>230</v>
      </c>
      <c r="B184" s="178" t="s">
        <v>144</v>
      </c>
      <c r="C184" s="178"/>
      <c r="D184" s="181">
        <f>C181*C183/12/100</f>
        <v>925.0447981666667</v>
      </c>
      <c r="E184" s="181">
        <f>D184</f>
        <v>925.0447981666667</v>
      </c>
      <c r="F184" s="164"/>
      <c r="G184" s="4"/>
      <c r="H184" s="2"/>
      <c r="I184" s="166"/>
      <c r="J184" s="16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107" t="s">
        <v>231</v>
      </c>
      <c r="B185" s="108" t="s">
        <v>153</v>
      </c>
      <c r="C185" s="108">
        <f>C169</f>
        <v>1</v>
      </c>
      <c r="D185" s="109">
        <f>D169</f>
        <v>99666.67</v>
      </c>
      <c r="E185" s="109">
        <f>C185*D185</f>
        <v>99666.67</v>
      </c>
      <c r="F185" s="164"/>
      <c r="G185" s="4"/>
      <c r="H185" s="2"/>
      <c r="I185" s="166"/>
      <c r="J185" s="16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110" t="s">
        <v>227</v>
      </c>
      <c r="B186" s="111" t="s">
        <v>50</v>
      </c>
      <c r="C186" s="111">
        <f>C181</f>
        <v>6.5</v>
      </c>
      <c r="D186" s="112"/>
      <c r="E186" s="112"/>
      <c r="F186" s="164"/>
      <c r="G186" s="4"/>
      <c r="H186" s="2"/>
      <c r="I186" s="166"/>
      <c r="J186" s="16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110" t="s">
        <v>232</v>
      </c>
      <c r="B187" s="111" t="s">
        <v>144</v>
      </c>
      <c r="C187" s="112">
        <f>_xlfn.IFERROR(IF(C171&lt;=C170,E169-(C172/(100*C170)*C171)*E169,E169-E172),0)</f>
        <v>99666.67</v>
      </c>
      <c r="D187" s="112"/>
      <c r="E187" s="112"/>
      <c r="F187" s="164"/>
      <c r="G187" s="4"/>
      <c r="H187" s="2"/>
      <c r="I187" s="166"/>
      <c r="J187" s="16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110" t="s">
        <v>233</v>
      </c>
      <c r="B188" s="111" t="s">
        <v>144</v>
      </c>
      <c r="C188" s="112">
        <f>_xlfn.IFERROR(IF(C171&gt;=C170,C187,((((C187)-(E169-E172))*(((C170-C171)+1)/(2*(C170-C171))))+(E169-E172))),0)</f>
        <v>70433.43902230001</v>
      </c>
      <c r="D188" s="112"/>
      <c r="E188" s="112"/>
      <c r="F188" s="164"/>
      <c r="G188" s="4"/>
      <c r="H188" s="2"/>
      <c r="I188" s="166"/>
      <c r="J188" s="16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128" t="s">
        <v>234</v>
      </c>
      <c r="B189" s="163" t="s">
        <v>144</v>
      </c>
      <c r="C189" s="163"/>
      <c r="D189" s="129">
        <f>C186*C188/12/100</f>
        <v>381.51446137079176</v>
      </c>
      <c r="E189" s="129">
        <f>D189</f>
        <v>381.51446137079176</v>
      </c>
      <c r="F189" s="164"/>
      <c r="G189" s="4"/>
      <c r="H189" s="2"/>
      <c r="I189" s="166"/>
      <c r="J189" s="16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113" t="s">
        <v>220</v>
      </c>
      <c r="B190" s="114"/>
      <c r="C190" s="114"/>
      <c r="D190" s="115"/>
      <c r="E190" s="116">
        <f>E184+E189</f>
        <v>1306.5592595374585</v>
      </c>
      <c r="F190" s="164"/>
      <c r="G190" s="4"/>
      <c r="H190" s="2"/>
      <c r="I190" s="166"/>
      <c r="J190" s="16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128" t="s">
        <v>221</v>
      </c>
      <c r="B191" s="163" t="s">
        <v>153</v>
      </c>
      <c r="C191" s="111">
        <f>C175</f>
        <v>2</v>
      </c>
      <c r="D191" s="129">
        <f>E190</f>
        <v>1306.5592595374585</v>
      </c>
      <c r="E191" s="116">
        <f>C191*D191</f>
        <v>2613.118519074917</v>
      </c>
      <c r="F191" s="164"/>
      <c r="G191" s="4"/>
      <c r="H191" s="2"/>
      <c r="I191" s="166"/>
      <c r="J191" s="16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07"/>
      <c r="D192" s="117" t="s">
        <v>126</v>
      </c>
      <c r="E192" s="118">
        <f>$B$48</f>
        <v>1</v>
      </c>
      <c r="F192" s="153">
        <f>E191*E192</f>
        <v>2613.118519074917</v>
      </c>
      <c r="G192" s="4"/>
      <c r="H192" s="2"/>
      <c r="I192" s="166"/>
      <c r="J192" s="16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4"/>
      <c r="E193" s="4"/>
      <c r="F193" s="4"/>
      <c r="G193" s="4"/>
      <c r="H193" s="2"/>
      <c r="I193" s="166"/>
      <c r="J193" s="16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 t="s">
        <v>235</v>
      </c>
      <c r="B194" s="2"/>
      <c r="C194" s="2"/>
      <c r="D194" s="4"/>
      <c r="E194" s="4"/>
      <c r="F194" s="4"/>
      <c r="G194" s="4"/>
      <c r="H194" s="2"/>
      <c r="I194" s="166"/>
      <c r="J194" s="16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103" t="s">
        <v>113</v>
      </c>
      <c r="B195" s="104" t="s">
        <v>114</v>
      </c>
      <c r="C195" s="104" t="s">
        <v>107</v>
      </c>
      <c r="D195" s="105" t="s">
        <v>115</v>
      </c>
      <c r="E195" s="105" t="s">
        <v>116</v>
      </c>
      <c r="F195" s="106" t="s">
        <v>236</v>
      </c>
      <c r="G195" s="4"/>
      <c r="H195" s="2"/>
      <c r="I195" s="166"/>
      <c r="J195" s="16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107" t="s">
        <v>237</v>
      </c>
      <c r="B196" s="108" t="s">
        <v>153</v>
      </c>
      <c r="C196" s="109">
        <f>C175</f>
        <v>2</v>
      </c>
      <c r="D196" s="109">
        <f>0.01*($E$164)</f>
        <v>2345.12</v>
      </c>
      <c r="E196" s="109">
        <f>C196*D196</f>
        <v>4690.24</v>
      </c>
      <c r="F196" s="4"/>
      <c r="G196" s="4"/>
      <c r="H196" s="2"/>
      <c r="I196" s="166"/>
      <c r="J196" s="16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110" t="s">
        <v>238</v>
      </c>
      <c r="B197" s="111" t="s">
        <v>153</v>
      </c>
      <c r="C197" s="109">
        <f>C175</f>
        <v>2</v>
      </c>
      <c r="D197" s="136">
        <v>177.56</v>
      </c>
      <c r="E197" s="112">
        <f>C197*D197</f>
        <v>355.12</v>
      </c>
      <c r="F197" s="4"/>
      <c r="G197" s="4"/>
      <c r="H197" s="2"/>
      <c r="I197" s="166"/>
      <c r="J197" s="16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110" t="s">
        <v>239</v>
      </c>
      <c r="B198" s="111" t="s">
        <v>153</v>
      </c>
      <c r="C198" s="109">
        <f>C175</f>
        <v>2</v>
      </c>
      <c r="D198" s="136">
        <v>6530.02</v>
      </c>
      <c r="E198" s="112">
        <f>C198*D198</f>
        <v>13060.04</v>
      </c>
      <c r="F198" s="115"/>
      <c r="G198" s="4"/>
      <c r="H198" s="2"/>
      <c r="I198" s="166"/>
      <c r="J198" s="16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128" t="s">
        <v>240</v>
      </c>
      <c r="B199" s="163" t="s">
        <v>119</v>
      </c>
      <c r="C199" s="163">
        <v>12</v>
      </c>
      <c r="D199" s="129">
        <f>SUM(E196:E198)</f>
        <v>18105.4</v>
      </c>
      <c r="E199" s="129">
        <f>D199/C199</f>
        <v>1508.7833333333335</v>
      </c>
      <c r="F199" s="4"/>
      <c r="G199" s="4"/>
      <c r="H199" s="2"/>
      <c r="I199" s="166"/>
      <c r="J199" s="16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117" t="s">
        <v>126</v>
      </c>
      <c r="E200" s="118">
        <f>$B$48</f>
        <v>1</v>
      </c>
      <c r="F200" s="147">
        <f>E199*E200</f>
        <v>1508.7833333333335</v>
      </c>
      <c r="G200" s="4"/>
      <c r="H200" s="2"/>
      <c r="I200" s="166"/>
      <c r="J200" s="16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4"/>
      <c r="E201" s="4"/>
      <c r="F201" s="4"/>
      <c r="G201" s="4"/>
      <c r="H201" s="2"/>
      <c r="I201" s="166"/>
      <c r="J201" s="16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 t="s">
        <v>241</v>
      </c>
      <c r="B202" s="208"/>
      <c r="C202" s="2"/>
      <c r="D202" s="4"/>
      <c r="E202" s="4"/>
      <c r="F202" s="4"/>
      <c r="G202" s="4"/>
      <c r="H202" s="2"/>
      <c r="I202" s="166"/>
      <c r="J202" s="16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08"/>
      <c r="C203" s="2"/>
      <c r="D203" s="4"/>
      <c r="E203" s="4"/>
      <c r="F203" s="4"/>
      <c r="G203" s="4"/>
      <c r="H203" s="2"/>
      <c r="I203" s="166"/>
      <c r="J203" s="16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28" t="s">
        <v>242</v>
      </c>
      <c r="B204" s="209">
        <v>3497.49</v>
      </c>
      <c r="C204" s="2"/>
      <c r="D204" s="4"/>
      <c r="E204" s="4"/>
      <c r="F204" s="4"/>
      <c r="G204" s="4"/>
      <c r="H204" s="2"/>
      <c r="I204" s="166"/>
      <c r="J204" s="16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08"/>
      <c r="C205" s="2"/>
      <c r="D205" s="4"/>
      <c r="E205" s="4"/>
      <c r="F205" s="4"/>
      <c r="G205" s="4"/>
      <c r="H205" s="2"/>
      <c r="I205" s="166"/>
      <c r="J205" s="16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103" t="s">
        <v>113</v>
      </c>
      <c r="B206" s="104" t="s">
        <v>114</v>
      </c>
      <c r="C206" s="104" t="s">
        <v>243</v>
      </c>
      <c r="D206" s="105" t="s">
        <v>115</v>
      </c>
      <c r="E206" s="105" t="s">
        <v>116</v>
      </c>
      <c r="F206" s="106" t="s">
        <v>244</v>
      </c>
      <c r="G206" s="4"/>
      <c r="H206" s="2"/>
      <c r="I206" s="166"/>
      <c r="J206" s="16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107" t="s">
        <v>245</v>
      </c>
      <c r="B207" s="108" t="s">
        <v>246</v>
      </c>
      <c r="C207" s="210">
        <v>2</v>
      </c>
      <c r="D207" s="211">
        <v>3.564</v>
      </c>
      <c r="E207" s="109"/>
      <c r="F207" s="4"/>
      <c r="G207" s="4"/>
      <c r="H207" s="2"/>
      <c r="I207" s="166"/>
      <c r="J207" s="16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110" t="s">
        <v>247</v>
      </c>
      <c r="B208" s="111" t="s">
        <v>248</v>
      </c>
      <c r="C208" s="212">
        <f>B204</f>
        <v>3497.49</v>
      </c>
      <c r="D208" s="213">
        <f>_xlfn.IFERROR(+D207/C207,"-")</f>
        <v>1.782</v>
      </c>
      <c r="E208" s="112">
        <f>_xlfn.IFERROR(C208*D208,"-")</f>
        <v>6232.52718</v>
      </c>
      <c r="F208" s="4"/>
      <c r="G208" s="4"/>
      <c r="H208" s="2"/>
      <c r="I208" s="166"/>
      <c r="J208" s="16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110" t="s">
        <v>249</v>
      </c>
      <c r="B209" s="111" t="s">
        <v>250</v>
      </c>
      <c r="C209" s="214">
        <v>2</v>
      </c>
      <c r="D209" s="136">
        <v>17.55</v>
      </c>
      <c r="E209" s="112"/>
      <c r="F209" s="4"/>
      <c r="G209" s="4"/>
      <c r="H209" s="2"/>
      <c r="I209" s="166"/>
      <c r="J209" s="16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110" t="s">
        <v>251</v>
      </c>
      <c r="B210" s="111" t="s">
        <v>248</v>
      </c>
      <c r="C210" s="212">
        <f>C208</f>
        <v>3497.49</v>
      </c>
      <c r="D210" s="215">
        <f>+C209*D209/1000</f>
        <v>0.0351</v>
      </c>
      <c r="E210" s="112">
        <f>C210*D210</f>
        <v>122.76189899999999</v>
      </c>
      <c r="F210" s="4"/>
      <c r="G210" s="4"/>
      <c r="H210" s="2"/>
      <c r="I210" s="166"/>
      <c r="J210" s="16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110" t="s">
        <v>252</v>
      </c>
      <c r="B211" s="111" t="s">
        <v>250</v>
      </c>
      <c r="C211" s="214">
        <v>0.24</v>
      </c>
      <c r="D211" s="136">
        <v>18.8</v>
      </c>
      <c r="E211" s="112"/>
      <c r="F211" s="4"/>
      <c r="G211" s="4"/>
      <c r="H211" s="2"/>
      <c r="I211" s="166"/>
      <c r="J211" s="16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110" t="s">
        <v>253</v>
      </c>
      <c r="B212" s="111" t="s">
        <v>248</v>
      </c>
      <c r="C212" s="212">
        <f>C208</f>
        <v>3497.49</v>
      </c>
      <c r="D212" s="215">
        <f>+C211*D211/1000</f>
        <v>0.0045119999999999995</v>
      </c>
      <c r="E212" s="112">
        <f>C212*D212</f>
        <v>15.780674879999998</v>
      </c>
      <c r="F212" s="4"/>
      <c r="G212" s="4"/>
      <c r="H212" s="2"/>
      <c r="I212" s="166"/>
      <c r="J212" s="16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110" t="s">
        <v>256</v>
      </c>
      <c r="B213" s="111" t="s">
        <v>250</v>
      </c>
      <c r="C213" s="214">
        <v>1.19</v>
      </c>
      <c r="D213" s="136">
        <v>28.04</v>
      </c>
      <c r="E213" s="112"/>
      <c r="F213" s="4"/>
      <c r="G213" s="4"/>
      <c r="H213" s="2"/>
      <c r="I213" s="166"/>
      <c r="J213" s="16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110" t="s">
        <v>258</v>
      </c>
      <c r="B214" s="111" t="s">
        <v>248</v>
      </c>
      <c r="C214" s="212">
        <f>C208</f>
        <v>3497.49</v>
      </c>
      <c r="D214" s="215">
        <f>+C213*D213/1000</f>
        <v>0.0333676</v>
      </c>
      <c r="E214" s="112">
        <f>C214*D214</f>
        <v>116.70284732399999</v>
      </c>
      <c r="F214" s="4"/>
      <c r="G214" s="4"/>
      <c r="H214" s="2"/>
      <c r="I214" s="166"/>
      <c r="J214" s="16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110" t="s">
        <v>259</v>
      </c>
      <c r="B215" s="111" t="s">
        <v>260</v>
      </c>
      <c r="C215" s="214">
        <v>1.71</v>
      </c>
      <c r="D215" s="136">
        <v>23.22</v>
      </c>
      <c r="E215" s="136" t="s">
        <v>53</v>
      </c>
      <c r="F215" s="4"/>
      <c r="G215" s="4"/>
      <c r="H215" s="2"/>
      <c r="I215" s="166"/>
      <c r="J215" s="16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110" t="s">
        <v>261</v>
      </c>
      <c r="B216" s="111" t="s">
        <v>248</v>
      </c>
      <c r="C216" s="133">
        <f>C208</f>
        <v>3497.49</v>
      </c>
      <c r="D216" s="215">
        <f>+C215*D215/1000</f>
        <v>0.0397062</v>
      </c>
      <c r="E216" s="112">
        <f>C216*D216</f>
        <v>138.87203743799998</v>
      </c>
      <c r="F216" s="4"/>
      <c r="G216" s="4"/>
      <c r="H216" s="2"/>
      <c r="I216" s="166"/>
      <c r="J216" s="16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28" t="s">
        <v>262</v>
      </c>
      <c r="B217" s="163" t="s">
        <v>263</v>
      </c>
      <c r="C217" s="222"/>
      <c r="D217" s="223">
        <f>_xlfn.IFERROR(D208+D210+D212+D214+D216,0)</f>
        <v>1.8946858</v>
      </c>
      <c r="E217" s="112"/>
      <c r="F217" s="4"/>
      <c r="G217" s="4"/>
      <c r="H217" s="2"/>
      <c r="I217" s="166"/>
      <c r="J217" s="16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4"/>
      <c r="E218" s="4"/>
      <c r="F218" s="153">
        <f>SUM(E207:E216)</f>
        <v>6626.644638642</v>
      </c>
      <c r="G218" s="4"/>
      <c r="H218" s="2"/>
      <c r="I218" s="166"/>
      <c r="J218" s="16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4"/>
      <c r="E219" s="4"/>
      <c r="F219" s="4"/>
      <c r="G219" s="4"/>
      <c r="H219" s="2"/>
      <c r="I219" s="166"/>
      <c r="J219" s="16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 t="s">
        <v>264</v>
      </c>
      <c r="B220" s="2"/>
      <c r="C220" s="2"/>
      <c r="D220" s="4"/>
      <c r="E220" s="4"/>
      <c r="F220" s="4"/>
      <c r="G220" s="4"/>
      <c r="H220" s="2"/>
      <c r="I220" s="166"/>
      <c r="J220" s="16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103" t="s">
        <v>113</v>
      </c>
      <c r="B221" s="104" t="s">
        <v>114</v>
      </c>
      <c r="C221" s="104" t="s">
        <v>107</v>
      </c>
      <c r="D221" s="105" t="s">
        <v>115</v>
      </c>
      <c r="E221" s="105" t="s">
        <v>116</v>
      </c>
      <c r="F221" s="106" t="s">
        <v>265</v>
      </c>
      <c r="G221" s="4"/>
      <c r="H221" s="2"/>
      <c r="I221" s="166"/>
      <c r="J221" s="16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07" t="s">
        <v>266</v>
      </c>
      <c r="B222" s="108" t="s">
        <v>263</v>
      </c>
      <c r="C222" s="133">
        <f>C208</f>
        <v>3497.49</v>
      </c>
      <c r="D222" s="224">
        <v>0.74</v>
      </c>
      <c r="E222" s="109">
        <f>C222*D222</f>
        <v>2588.1425999999997</v>
      </c>
      <c r="F222" s="4"/>
      <c r="G222" s="4"/>
      <c r="H222" s="2"/>
      <c r="I222" s="166"/>
      <c r="J222" s="16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4"/>
      <c r="E223" s="4"/>
      <c r="F223" s="153">
        <f>E222</f>
        <v>2588.1425999999997</v>
      </c>
      <c r="G223" s="4"/>
      <c r="H223" s="2"/>
      <c r="I223" s="166"/>
      <c r="J223" s="16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4"/>
      <c r="E224" s="4"/>
      <c r="F224" s="4"/>
      <c r="G224" s="4"/>
      <c r="H224" s="2"/>
      <c r="I224" s="166"/>
      <c r="J224" s="16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 t="s">
        <v>267</v>
      </c>
      <c r="B225" s="2"/>
      <c r="C225" s="2"/>
      <c r="D225" s="4"/>
      <c r="E225" s="4"/>
      <c r="F225" s="4"/>
      <c r="G225" s="4"/>
      <c r="H225" s="2"/>
      <c r="I225" s="166"/>
      <c r="J225" s="16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103" t="s">
        <v>113</v>
      </c>
      <c r="B226" s="104" t="s">
        <v>114</v>
      </c>
      <c r="C226" s="104" t="s">
        <v>107</v>
      </c>
      <c r="D226" s="105" t="s">
        <v>115</v>
      </c>
      <c r="E226" s="105" t="s">
        <v>116</v>
      </c>
      <c r="F226" s="106" t="s">
        <v>268</v>
      </c>
      <c r="G226" s="4"/>
      <c r="H226" s="2"/>
      <c r="I226" s="166"/>
      <c r="J226" s="16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107" t="s">
        <v>269</v>
      </c>
      <c r="B227" s="108" t="s">
        <v>153</v>
      </c>
      <c r="C227" s="225">
        <v>6</v>
      </c>
      <c r="D227" s="226">
        <v>1586</v>
      </c>
      <c r="E227" s="109">
        <f>C227*D227</f>
        <v>9516</v>
      </c>
      <c r="F227" s="4"/>
      <c r="G227" s="4"/>
      <c r="H227" s="2"/>
      <c r="I227" s="166"/>
      <c r="J227" s="16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107" t="s">
        <v>270</v>
      </c>
      <c r="B228" s="108" t="s">
        <v>153</v>
      </c>
      <c r="C228" s="227">
        <v>2</v>
      </c>
      <c r="D228" s="228"/>
      <c r="E228" s="109"/>
      <c r="F228" s="4"/>
      <c r="G228" s="4"/>
      <c r="H228" s="2"/>
      <c r="I228" s="166"/>
      <c r="J228" s="16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107" t="s">
        <v>271</v>
      </c>
      <c r="B229" s="108" t="s">
        <v>153</v>
      </c>
      <c r="C229" s="109">
        <f>C227*C228</f>
        <v>12</v>
      </c>
      <c r="D229" s="226">
        <v>560.67</v>
      </c>
      <c r="E229" s="109">
        <f>C229*D229</f>
        <v>6728.039999999999</v>
      </c>
      <c r="F229" s="4"/>
      <c r="G229" s="4"/>
      <c r="H229" s="2"/>
      <c r="I229" s="166"/>
      <c r="J229" s="16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29" t="s">
        <v>272</v>
      </c>
      <c r="B230" s="111" t="s">
        <v>273</v>
      </c>
      <c r="C230" s="230">
        <v>135000</v>
      </c>
      <c r="D230" s="112">
        <f>E227+E229</f>
        <v>16244.039999999999</v>
      </c>
      <c r="E230" s="112">
        <f>_xlfn.IFERROR(D230/C230,"-")</f>
        <v>0.12032622222222221</v>
      </c>
      <c r="F230" s="4"/>
      <c r="G230" s="4"/>
      <c r="H230" s="2"/>
      <c r="I230" s="166"/>
      <c r="J230" s="16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110" t="s">
        <v>274</v>
      </c>
      <c r="B231" s="111" t="s">
        <v>248</v>
      </c>
      <c r="C231" s="133">
        <f>B204</f>
        <v>3497.49</v>
      </c>
      <c r="D231" s="112">
        <f>E230</f>
        <v>0.12032622222222221</v>
      </c>
      <c r="E231" s="112">
        <f>_xlfn.IFERROR(C231*D231,0)</f>
        <v>420.8397589599999</v>
      </c>
      <c r="F231" s="4"/>
      <c r="G231" s="4"/>
      <c r="H231" s="2"/>
      <c r="I231" s="166"/>
      <c r="J231" s="16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4"/>
      <c r="E232" s="4"/>
      <c r="F232" s="153">
        <f>E231</f>
        <v>420.8397589599999</v>
      </c>
      <c r="G232" s="4"/>
      <c r="H232" s="2"/>
      <c r="I232" s="166"/>
      <c r="J232" s="166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4"/>
      <c r="E233" s="4"/>
      <c r="F233" s="4"/>
      <c r="G233" s="4"/>
      <c r="H233" s="2"/>
      <c r="I233" s="166"/>
      <c r="J233" s="166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4"/>
      <c r="E234" s="4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137" t="s">
        <v>275</v>
      </c>
      <c r="B235" s="138"/>
      <c r="C235" s="138"/>
      <c r="D235" s="79"/>
      <c r="E235" s="139"/>
      <c r="F235" s="153">
        <f>+SUM(F164:F234)</f>
        <v>17875.217241776914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4"/>
      <c r="E236" s="4"/>
      <c r="F236" s="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1" t="s">
        <v>276</v>
      </c>
      <c r="B237" s="1"/>
      <c r="C237" s="1"/>
      <c r="D237" s="45"/>
      <c r="E237" s="45"/>
      <c r="F237" s="11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4"/>
      <c r="E238" s="4"/>
      <c r="F238" s="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103" t="s">
        <v>113</v>
      </c>
      <c r="B239" s="104" t="s">
        <v>114</v>
      </c>
      <c r="C239" s="104" t="s">
        <v>107</v>
      </c>
      <c r="D239" s="105" t="s">
        <v>115</v>
      </c>
      <c r="E239" s="105" t="s">
        <v>116</v>
      </c>
      <c r="F239" s="106" t="s">
        <v>277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110" t="s">
        <v>278</v>
      </c>
      <c r="B240" s="111" t="s">
        <v>153</v>
      </c>
      <c r="C240" s="142">
        <v>0.166666666666667</v>
      </c>
      <c r="D240" s="109">
        <v>30.63</v>
      </c>
      <c r="E240" s="112">
        <f>C240*D240</f>
        <v>5.10500000000001</v>
      </c>
      <c r="F240" s="16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110" t="s">
        <v>279</v>
      </c>
      <c r="B241" s="111" t="s">
        <v>153</v>
      </c>
      <c r="C241" s="142">
        <v>0.333333333333333</v>
      </c>
      <c r="D241" s="109">
        <v>29.63</v>
      </c>
      <c r="E241" s="112">
        <f>C241*D241</f>
        <v>9.876666666666656</v>
      </c>
      <c r="F241" s="16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110" t="s">
        <v>280</v>
      </c>
      <c r="B242" s="111" t="s">
        <v>153</v>
      </c>
      <c r="C242" s="142">
        <v>0.333333333333333</v>
      </c>
      <c r="D242" s="109">
        <v>54.82</v>
      </c>
      <c r="E242" s="112">
        <f>C242*D242</f>
        <v>18.273333333333316</v>
      </c>
      <c r="F242" s="16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110" t="s">
        <v>281</v>
      </c>
      <c r="B243" s="111" t="s">
        <v>282</v>
      </c>
      <c r="C243" s="142">
        <v>0</v>
      </c>
      <c r="D243" s="109"/>
      <c r="E243" s="112">
        <f>C243*D243</f>
        <v>0</v>
      </c>
      <c r="F243" s="16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110" t="s">
        <v>283</v>
      </c>
      <c r="B244" s="111" t="s">
        <v>282</v>
      </c>
      <c r="C244" s="142">
        <v>0</v>
      </c>
      <c r="D244" s="109"/>
      <c r="E244" s="112">
        <f>C244*D244</f>
        <v>0</v>
      </c>
      <c r="F244" s="16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1"/>
      <c r="B245" s="1"/>
      <c r="C245" s="1"/>
      <c r="D245" s="1"/>
      <c r="E245" s="45"/>
      <c r="F245" s="153">
        <f>SUM(E240:E244)</f>
        <v>33.25499999999998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4"/>
      <c r="E246" s="4"/>
      <c r="F246" s="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137" t="s">
        <v>284</v>
      </c>
      <c r="B247" s="138"/>
      <c r="C247" s="138"/>
      <c r="D247" s="79"/>
      <c r="E247" s="139"/>
      <c r="F247" s="153">
        <f>+F245</f>
        <v>33.25499999999998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4"/>
      <c r="E248" s="4"/>
      <c r="F248" s="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1" t="s">
        <v>285</v>
      </c>
      <c r="B249" s="1"/>
      <c r="C249" s="1"/>
      <c r="D249" s="45"/>
      <c r="E249" s="45"/>
      <c r="F249" s="115"/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4"/>
      <c r="E250" s="4"/>
      <c r="F250" s="4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103" t="s">
        <v>113</v>
      </c>
      <c r="B251" s="104" t="s">
        <v>114</v>
      </c>
      <c r="C251" s="104" t="s">
        <v>107</v>
      </c>
      <c r="D251" s="123" t="s">
        <v>115</v>
      </c>
      <c r="E251" s="105" t="s">
        <v>116</v>
      </c>
      <c r="F251" s="106" t="s">
        <v>286</v>
      </c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110" t="s">
        <v>287</v>
      </c>
      <c r="B252" s="231" t="s">
        <v>282</v>
      </c>
      <c r="C252" s="126">
        <f>C164</f>
        <v>1</v>
      </c>
      <c r="D252" s="136">
        <v>510</v>
      </c>
      <c r="E252" s="112">
        <f>+D252*C252</f>
        <v>510</v>
      </c>
      <c r="F252" s="164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110" t="s">
        <v>288</v>
      </c>
      <c r="B253" s="231" t="s">
        <v>119</v>
      </c>
      <c r="C253" s="111">
        <v>60</v>
      </c>
      <c r="D253" s="232"/>
      <c r="E253" s="232">
        <f>+D253/C253</f>
        <v>0</v>
      </c>
      <c r="F253" s="164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10" t="s">
        <v>289</v>
      </c>
      <c r="B254" s="111" t="s">
        <v>153</v>
      </c>
      <c r="C254" s="126">
        <f>+C252</f>
        <v>1</v>
      </c>
      <c r="D254" s="136">
        <v>205</v>
      </c>
      <c r="E254" s="112">
        <f>C254*D254</f>
        <v>205</v>
      </c>
      <c r="F254" s="164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10" t="s">
        <v>290</v>
      </c>
      <c r="B255" s="231" t="s">
        <v>119</v>
      </c>
      <c r="C255" s="111">
        <v>1</v>
      </c>
      <c r="D255" s="232">
        <f>+E254</f>
        <v>205</v>
      </c>
      <c r="E255" s="232">
        <f>+D255/C255</f>
        <v>205</v>
      </c>
      <c r="F255" s="164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125"/>
      <c r="B256" s="125"/>
      <c r="C256" s="125"/>
      <c r="D256" s="117" t="s">
        <v>126</v>
      </c>
      <c r="E256" s="118">
        <f>$B$48</f>
        <v>1</v>
      </c>
      <c r="F256" s="153">
        <f>(E253+E255)*E256</f>
        <v>205</v>
      </c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4"/>
      <c r="E257" s="4"/>
      <c r="F257" s="4"/>
      <c r="G257" s="233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234"/>
      <c r="U257" s="234"/>
      <c r="V257" s="234"/>
      <c r="W257" s="234"/>
      <c r="X257" s="234"/>
      <c r="Y257" s="234"/>
      <c r="Z257" s="234"/>
    </row>
    <row r="258" spans="1:26" ht="12.75" customHeight="1">
      <c r="A258" s="137" t="s">
        <v>291</v>
      </c>
      <c r="B258" s="138"/>
      <c r="C258" s="138"/>
      <c r="D258" s="79"/>
      <c r="E258" s="139"/>
      <c r="F258" s="153">
        <f>+F256</f>
        <v>205</v>
      </c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4"/>
      <c r="E259" s="4"/>
      <c r="F259" s="4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>
      <c r="A260" s="137" t="s">
        <v>292</v>
      </c>
      <c r="B260" s="148"/>
      <c r="C260" s="148"/>
      <c r="D260" s="150"/>
      <c r="E260" s="152"/>
      <c r="F260" s="140">
        <f>+F122+F156+F235+F247+F258</f>
        <v>48193.243601776914</v>
      </c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4"/>
      <c r="E261" s="4"/>
      <c r="F261" s="4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" t="s">
        <v>293</v>
      </c>
      <c r="B262" s="2"/>
      <c r="C262" s="2"/>
      <c r="D262" s="4"/>
      <c r="E262" s="4"/>
      <c r="F262" s="4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4"/>
      <c r="E263" s="4"/>
      <c r="F263" s="4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103" t="s">
        <v>113</v>
      </c>
      <c r="B264" s="104" t="s">
        <v>114</v>
      </c>
      <c r="C264" s="104" t="s">
        <v>107</v>
      </c>
      <c r="D264" s="105" t="s">
        <v>115</v>
      </c>
      <c r="E264" s="105" t="s">
        <v>116</v>
      </c>
      <c r="F264" s="106" t="s">
        <v>294</v>
      </c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107" t="s">
        <v>295</v>
      </c>
      <c r="B265" s="108" t="s">
        <v>50</v>
      </c>
      <c r="C265" s="112">
        <f>'4.BDI'!C18*100</f>
        <v>27.29</v>
      </c>
      <c r="D265" s="109">
        <f>+F260</f>
        <v>48193.243601776914</v>
      </c>
      <c r="E265" s="109">
        <f>C265*D265/100</f>
        <v>13151.936178924918</v>
      </c>
      <c r="F265" s="4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4"/>
      <c r="E266" s="4"/>
      <c r="F266" s="153">
        <f>+E265</f>
        <v>13151.936178924918</v>
      </c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4"/>
      <c r="E267" s="4"/>
      <c r="F267" s="4"/>
      <c r="G267" s="4" t="s">
        <v>296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137" t="s">
        <v>297</v>
      </c>
      <c r="B268" s="148"/>
      <c r="C268" s="148"/>
      <c r="D268" s="150"/>
      <c r="E268" s="152"/>
      <c r="F268" s="140">
        <f>F266</f>
        <v>13151.936178924918</v>
      </c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1"/>
      <c r="B269" s="1"/>
      <c r="C269" s="1"/>
      <c r="D269" s="45"/>
      <c r="E269" s="45"/>
      <c r="F269" s="115"/>
      <c r="G269" s="4" t="s">
        <v>296</v>
      </c>
      <c r="H269" s="2"/>
      <c r="I269" s="2">
        <v>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4"/>
      <c r="E270" s="4"/>
      <c r="F270" s="4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.75" customHeight="1">
      <c r="A271" s="137" t="s">
        <v>298</v>
      </c>
      <c r="B271" s="148"/>
      <c r="C271" s="148"/>
      <c r="D271" s="150"/>
      <c r="E271" s="152"/>
      <c r="F271" s="140">
        <f>F260+F268</f>
        <v>61345.17978070183</v>
      </c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>
      <c r="A272" s="235"/>
      <c r="B272" s="235"/>
      <c r="C272" s="235"/>
      <c r="D272" s="236"/>
      <c r="E272" s="236"/>
      <c r="F272" s="236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9.75" customHeight="1">
      <c r="A273" s="2"/>
      <c r="B273" s="2"/>
      <c r="C273" s="2"/>
      <c r="D273" s="4"/>
      <c r="E273" s="4"/>
      <c r="F273" s="4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9.75" customHeight="1">
      <c r="A274" s="2"/>
      <c r="B274" s="2"/>
      <c r="C274" s="2"/>
      <c r="D274" s="4"/>
      <c r="E274" s="4"/>
      <c r="F274" s="4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9.75" customHeight="1">
      <c r="A275" s="2"/>
      <c r="B275" s="2"/>
      <c r="C275" s="2"/>
      <c r="D275" s="4"/>
      <c r="E275" s="4"/>
      <c r="F275" s="4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4"/>
      <c r="E276" s="4"/>
      <c r="F276" s="4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4"/>
      <c r="E277" s="4"/>
      <c r="F277" s="4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4"/>
      <c r="E278" s="4"/>
      <c r="F278" s="4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4"/>
      <c r="E279" s="4"/>
      <c r="F279" s="4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4"/>
      <c r="E280" s="4"/>
      <c r="F280" s="4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4"/>
      <c r="E281" s="4"/>
      <c r="F281" s="4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4"/>
      <c r="E282" s="4"/>
      <c r="F282" s="4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4"/>
      <c r="E283" s="4"/>
      <c r="F283" s="4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4"/>
      <c r="E284" s="4"/>
      <c r="F284" s="4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4"/>
      <c r="E285" s="4"/>
      <c r="F285" s="4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4"/>
      <c r="E286" s="4"/>
      <c r="F286" s="4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4"/>
      <c r="E287" s="4"/>
      <c r="F287" s="4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4"/>
      <c r="E288" s="4"/>
      <c r="F288" s="4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4"/>
      <c r="E289" s="4"/>
      <c r="F289" s="4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4"/>
      <c r="E290" s="4"/>
      <c r="F290" s="4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4"/>
      <c r="E291" s="4"/>
      <c r="F291" s="4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4"/>
      <c r="E292" s="4"/>
      <c r="F292" s="4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4"/>
      <c r="E293" s="4"/>
      <c r="F293" s="4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4"/>
      <c r="E294" s="4"/>
      <c r="F294" s="4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4"/>
      <c r="E295" s="4"/>
      <c r="F295" s="4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4"/>
      <c r="E296" s="4"/>
      <c r="F296" s="4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4"/>
      <c r="E297" s="4"/>
      <c r="F297" s="4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4"/>
      <c r="E298" s="4"/>
      <c r="F298" s="4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4"/>
      <c r="E299" s="4"/>
      <c r="F299" s="4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4"/>
      <c r="E300" s="4"/>
      <c r="F300" s="4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4"/>
      <c r="E301" s="4"/>
      <c r="F301" s="4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4"/>
      <c r="E302" s="4"/>
      <c r="F302" s="4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4"/>
      <c r="E303" s="4"/>
      <c r="F303" s="4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4"/>
      <c r="E304" s="4"/>
      <c r="F304" s="4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9" customHeight="1">
      <c r="A305" s="2"/>
      <c r="B305" s="2"/>
      <c r="C305" s="2"/>
      <c r="D305" s="4"/>
      <c r="E305" s="4"/>
      <c r="F305" s="4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4"/>
      <c r="E306" s="4"/>
      <c r="F306" s="4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4"/>
      <c r="E307" s="4"/>
      <c r="F307" s="4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4"/>
      <c r="E308" s="4"/>
      <c r="F308" s="4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4"/>
      <c r="E309" s="4"/>
      <c r="F309" s="4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4"/>
      <c r="E310" s="4"/>
      <c r="F310" s="4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4"/>
      <c r="E311" s="4"/>
      <c r="F311" s="4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4"/>
      <c r="E312" s="4"/>
      <c r="F312" s="4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4"/>
      <c r="E313" s="4"/>
      <c r="F313" s="4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4"/>
      <c r="E314" s="4"/>
      <c r="F314" s="4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4"/>
      <c r="E315" s="4"/>
      <c r="F315" s="4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4"/>
      <c r="E316" s="4"/>
      <c r="F316" s="4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4"/>
      <c r="E317" s="4"/>
      <c r="F317" s="4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4"/>
      <c r="E318" s="4"/>
      <c r="F318" s="4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4"/>
      <c r="E319" s="4"/>
      <c r="F319" s="4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4"/>
      <c r="E320" s="4"/>
      <c r="F320" s="4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4"/>
      <c r="E321" s="4"/>
      <c r="F321" s="4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4"/>
      <c r="E322" s="4"/>
      <c r="F322" s="4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4"/>
      <c r="E323" s="4"/>
      <c r="F323" s="4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4"/>
      <c r="E324" s="4"/>
      <c r="F324" s="4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4"/>
      <c r="E325" s="4"/>
      <c r="F325" s="4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4"/>
      <c r="E326" s="4"/>
      <c r="F326" s="4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4"/>
      <c r="E327" s="4"/>
      <c r="F327" s="4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4"/>
      <c r="E328" s="4"/>
      <c r="F328" s="4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4"/>
      <c r="E329" s="4"/>
      <c r="F329" s="4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4"/>
      <c r="E330" s="4"/>
      <c r="F330" s="4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4"/>
      <c r="E331" s="4"/>
      <c r="F331" s="4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4"/>
      <c r="E332" s="4"/>
      <c r="F332" s="4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4"/>
      <c r="E333" s="4"/>
      <c r="F333" s="4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4"/>
      <c r="E334" s="4"/>
      <c r="F334" s="4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4"/>
      <c r="E335" s="4"/>
      <c r="F335" s="4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4"/>
      <c r="E336" s="4"/>
      <c r="F336" s="4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4"/>
      <c r="E337" s="4"/>
      <c r="F337" s="4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4"/>
      <c r="E338" s="4"/>
      <c r="F338" s="4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4"/>
      <c r="E339" s="4"/>
      <c r="F339" s="4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4"/>
      <c r="E340" s="4"/>
      <c r="F340" s="4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4"/>
      <c r="E341" s="4"/>
      <c r="F341" s="4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4"/>
      <c r="E342" s="4"/>
      <c r="F342" s="4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4"/>
      <c r="E343" s="4"/>
      <c r="F343" s="4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4"/>
      <c r="E344" s="4"/>
      <c r="F344" s="4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4"/>
      <c r="E345" s="4"/>
      <c r="F345" s="4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4"/>
      <c r="E346" s="4"/>
      <c r="F346" s="4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4"/>
      <c r="E347" s="4"/>
      <c r="F347" s="4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4"/>
      <c r="E348" s="4"/>
      <c r="F348" s="4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4"/>
      <c r="E349" s="4"/>
      <c r="F349" s="4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4"/>
      <c r="E350" s="4"/>
      <c r="F350" s="4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4"/>
      <c r="E351" s="4"/>
      <c r="F351" s="4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4"/>
      <c r="E352" s="4"/>
      <c r="F352" s="4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4"/>
      <c r="E353" s="4"/>
      <c r="F353" s="4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4"/>
      <c r="E354" s="4"/>
      <c r="F354" s="4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4"/>
      <c r="E355" s="4"/>
      <c r="F355" s="4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4"/>
      <c r="E356" s="4"/>
      <c r="F356" s="4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4"/>
      <c r="E357" s="4"/>
      <c r="F357" s="4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4"/>
      <c r="E358" s="4"/>
      <c r="F358" s="4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4"/>
      <c r="E359" s="4"/>
      <c r="F359" s="4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4"/>
      <c r="E360" s="4"/>
      <c r="F360" s="4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4"/>
      <c r="E361" s="4"/>
      <c r="F361" s="4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4"/>
      <c r="E362" s="4"/>
      <c r="F362" s="4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4"/>
      <c r="E363" s="4"/>
      <c r="F363" s="4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4"/>
      <c r="E364" s="4"/>
      <c r="F364" s="4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4"/>
      <c r="E365" s="4"/>
      <c r="F365" s="4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4"/>
      <c r="E366" s="4"/>
      <c r="F366" s="4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4"/>
      <c r="E367" s="4"/>
      <c r="F367" s="4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4"/>
      <c r="E368" s="4"/>
      <c r="F368" s="4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4"/>
      <c r="E369" s="4"/>
      <c r="F369" s="4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4"/>
      <c r="E370" s="4"/>
      <c r="F370" s="4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4"/>
      <c r="E371" s="4"/>
      <c r="F371" s="4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4"/>
      <c r="E372" s="4"/>
      <c r="F372" s="4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4"/>
      <c r="E373" s="4"/>
      <c r="F373" s="4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4"/>
      <c r="E374" s="4"/>
      <c r="F374" s="4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4"/>
      <c r="E375" s="4"/>
      <c r="F375" s="4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4"/>
      <c r="E376" s="4"/>
      <c r="F376" s="4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4"/>
      <c r="E377" s="4"/>
      <c r="F377" s="4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4"/>
      <c r="E378" s="4"/>
      <c r="F378" s="4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4"/>
      <c r="E379" s="4"/>
      <c r="F379" s="4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4"/>
      <c r="E380" s="4"/>
      <c r="F380" s="4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4"/>
      <c r="E381" s="4"/>
      <c r="F381" s="4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4"/>
      <c r="E382" s="4"/>
      <c r="F382" s="4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4"/>
      <c r="E383" s="4"/>
      <c r="F383" s="4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4"/>
      <c r="E384" s="4"/>
      <c r="F384" s="4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4"/>
      <c r="E385" s="4"/>
      <c r="F385" s="4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4"/>
      <c r="E386" s="4"/>
      <c r="F386" s="4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4"/>
      <c r="E387" s="4"/>
      <c r="F387" s="4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4"/>
      <c r="E388" s="4"/>
      <c r="F388" s="4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4"/>
      <c r="E389" s="4"/>
      <c r="F389" s="4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4"/>
      <c r="E390" s="4"/>
      <c r="F390" s="4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4"/>
      <c r="E391" s="4"/>
      <c r="F391" s="4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4"/>
      <c r="E392" s="4"/>
      <c r="F392" s="4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4"/>
      <c r="E393" s="4"/>
      <c r="F393" s="4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4"/>
      <c r="E394" s="4"/>
      <c r="F394" s="4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4"/>
      <c r="E395" s="4"/>
      <c r="F395" s="4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4"/>
      <c r="E396" s="4"/>
      <c r="F396" s="4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4"/>
      <c r="E397" s="4"/>
      <c r="F397" s="4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4"/>
      <c r="E398" s="4"/>
      <c r="F398" s="4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4"/>
      <c r="E399" s="4"/>
      <c r="F399" s="4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4"/>
      <c r="E400" s="4"/>
      <c r="F400" s="4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4"/>
      <c r="E401" s="4"/>
      <c r="F401" s="4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4"/>
      <c r="E402" s="4"/>
      <c r="F402" s="4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4"/>
      <c r="E403" s="4"/>
      <c r="F403" s="4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4"/>
      <c r="E404" s="4"/>
      <c r="F404" s="4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4"/>
      <c r="E405" s="4"/>
      <c r="F405" s="4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4"/>
      <c r="E406" s="4"/>
      <c r="F406" s="4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4"/>
      <c r="E407" s="4"/>
      <c r="F407" s="4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4"/>
      <c r="E408" s="4"/>
      <c r="F408" s="4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4"/>
      <c r="E409" s="4"/>
      <c r="F409" s="4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4"/>
      <c r="E410" s="4"/>
      <c r="F410" s="4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4"/>
      <c r="E411" s="4"/>
      <c r="F411" s="4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4"/>
      <c r="E412" s="4"/>
      <c r="F412" s="4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4"/>
      <c r="E413" s="4"/>
      <c r="F413" s="4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4"/>
      <c r="E414" s="4"/>
      <c r="F414" s="4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4"/>
      <c r="E415" s="4"/>
      <c r="F415" s="4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4"/>
      <c r="E416" s="4"/>
      <c r="F416" s="4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4"/>
      <c r="E417" s="4"/>
      <c r="F417" s="4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4"/>
      <c r="E418" s="4"/>
      <c r="F418" s="4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4"/>
      <c r="E419" s="4"/>
      <c r="F419" s="4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4"/>
      <c r="E420" s="4"/>
      <c r="F420" s="4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4"/>
      <c r="E421" s="4"/>
      <c r="F421" s="4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4"/>
      <c r="E422" s="4"/>
      <c r="F422" s="4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4"/>
      <c r="E423" s="4"/>
      <c r="F423" s="4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4"/>
      <c r="E424" s="4"/>
      <c r="F424" s="4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4"/>
      <c r="E425" s="4"/>
      <c r="F425" s="4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4"/>
      <c r="E426" s="4"/>
      <c r="F426" s="4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4"/>
      <c r="E427" s="4"/>
      <c r="F427" s="4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4"/>
      <c r="E428" s="4"/>
      <c r="F428" s="4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4"/>
      <c r="E429" s="4"/>
      <c r="F429" s="4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4"/>
      <c r="E430" s="4"/>
      <c r="F430" s="4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4"/>
      <c r="E431" s="4"/>
      <c r="F431" s="4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4"/>
      <c r="E432" s="4"/>
      <c r="F432" s="4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4"/>
      <c r="E433" s="4"/>
      <c r="F433" s="4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4"/>
      <c r="E434" s="4"/>
      <c r="F434" s="4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4"/>
      <c r="E435" s="4"/>
      <c r="F435" s="4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4"/>
      <c r="E436" s="4"/>
      <c r="F436" s="4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4"/>
      <c r="E437" s="4"/>
      <c r="F437" s="4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4"/>
      <c r="E438" s="4"/>
      <c r="F438" s="4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4"/>
      <c r="E439" s="4"/>
      <c r="F439" s="4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4"/>
      <c r="E440" s="4"/>
      <c r="F440" s="4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4"/>
      <c r="E441" s="4"/>
      <c r="F441" s="4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4"/>
      <c r="E442" s="4"/>
      <c r="F442" s="4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4"/>
      <c r="E443" s="4"/>
      <c r="F443" s="4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4"/>
      <c r="E444" s="4"/>
      <c r="F444" s="4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4"/>
      <c r="E445" s="4"/>
      <c r="F445" s="4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4"/>
      <c r="E446" s="4"/>
      <c r="F446" s="4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4"/>
      <c r="E447" s="4"/>
      <c r="F447" s="4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4"/>
      <c r="E448" s="4"/>
      <c r="F448" s="4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4"/>
      <c r="E449" s="4"/>
      <c r="F449" s="4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4"/>
      <c r="E450" s="4"/>
      <c r="F450" s="4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4"/>
      <c r="E451" s="4"/>
      <c r="F451" s="4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4"/>
      <c r="E452" s="4"/>
      <c r="F452" s="4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4"/>
      <c r="E453" s="4"/>
      <c r="F453" s="4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4"/>
      <c r="E454" s="4"/>
      <c r="F454" s="4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4"/>
      <c r="E455" s="4"/>
      <c r="F455" s="4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4"/>
      <c r="E456" s="4"/>
      <c r="F456" s="4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4"/>
      <c r="E457" s="4"/>
      <c r="F457" s="4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4"/>
      <c r="E458" s="4"/>
      <c r="F458" s="4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4"/>
      <c r="E459" s="4"/>
      <c r="F459" s="4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4"/>
      <c r="E460" s="4"/>
      <c r="F460" s="4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4"/>
      <c r="E461" s="4"/>
      <c r="F461" s="4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4"/>
      <c r="E462" s="4"/>
      <c r="F462" s="4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4"/>
      <c r="E463" s="4"/>
      <c r="F463" s="4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4"/>
      <c r="E464" s="4"/>
      <c r="F464" s="4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4"/>
      <c r="E465" s="4"/>
      <c r="F465" s="4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4"/>
      <c r="E466" s="4"/>
      <c r="F466" s="4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4"/>
      <c r="E467" s="4"/>
      <c r="F467" s="4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4"/>
      <c r="E468" s="4"/>
      <c r="F468" s="4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4"/>
      <c r="E469" s="4"/>
      <c r="F469" s="4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4"/>
      <c r="E470" s="4"/>
      <c r="F470" s="4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4"/>
      <c r="E471" s="4"/>
      <c r="F471" s="4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4"/>
      <c r="E472" s="4"/>
      <c r="F472" s="4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4"/>
      <c r="E473" s="4"/>
      <c r="F473" s="4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4"/>
      <c r="E474" s="4"/>
      <c r="F474" s="4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4"/>
      <c r="E475" s="4"/>
      <c r="F475" s="4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4"/>
      <c r="E476" s="4"/>
      <c r="F476" s="4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4"/>
      <c r="E477" s="4"/>
      <c r="F477" s="4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4"/>
      <c r="E478" s="4"/>
      <c r="F478" s="4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4"/>
      <c r="E479" s="4"/>
      <c r="F479" s="4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4"/>
      <c r="E480" s="4"/>
      <c r="F480" s="4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4"/>
      <c r="E481" s="4"/>
      <c r="F481" s="4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4"/>
      <c r="E482" s="4"/>
      <c r="F482" s="4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4"/>
      <c r="E483" s="4"/>
      <c r="F483" s="4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4"/>
      <c r="E484" s="4"/>
      <c r="F484" s="4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4"/>
      <c r="E485" s="4"/>
      <c r="F485" s="4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4"/>
      <c r="E486" s="4"/>
      <c r="F486" s="4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4"/>
      <c r="E487" s="4"/>
      <c r="F487" s="4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4"/>
      <c r="E488" s="4"/>
      <c r="F488" s="4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4"/>
      <c r="E489" s="4"/>
      <c r="F489" s="4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4"/>
      <c r="E490" s="4"/>
      <c r="F490" s="4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4"/>
      <c r="E491" s="4"/>
      <c r="F491" s="4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4"/>
      <c r="E492" s="4"/>
      <c r="F492" s="4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4"/>
      <c r="E493" s="4"/>
      <c r="F493" s="4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4"/>
      <c r="E494" s="4"/>
      <c r="F494" s="4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4"/>
      <c r="E495" s="4"/>
      <c r="F495" s="4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4"/>
      <c r="E496" s="4"/>
      <c r="F496" s="4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4"/>
      <c r="E497" s="4"/>
      <c r="F497" s="4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4"/>
      <c r="E498" s="4"/>
      <c r="F498" s="4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4"/>
      <c r="E499" s="4"/>
      <c r="F499" s="4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4"/>
      <c r="E500" s="4"/>
      <c r="F500" s="4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4"/>
      <c r="E501" s="4"/>
      <c r="F501" s="4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4"/>
      <c r="E502" s="4"/>
      <c r="F502" s="4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4"/>
      <c r="E503" s="4"/>
      <c r="F503" s="4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4"/>
      <c r="E504" s="4"/>
      <c r="F504" s="4"/>
      <c r="G504" s="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4"/>
      <c r="E505" s="4"/>
      <c r="F505" s="4"/>
      <c r="G505" s="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4"/>
      <c r="E506" s="4"/>
      <c r="F506" s="4"/>
      <c r="G506" s="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4"/>
      <c r="E507" s="4"/>
      <c r="F507" s="4"/>
      <c r="G507" s="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4"/>
      <c r="E508" s="4"/>
      <c r="F508" s="4"/>
      <c r="G508" s="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4"/>
      <c r="E509" s="4"/>
      <c r="F509" s="4"/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4"/>
      <c r="E510" s="4"/>
      <c r="F510" s="4"/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4"/>
      <c r="E511" s="4"/>
      <c r="F511" s="4"/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4"/>
      <c r="E512" s="4"/>
      <c r="F512" s="4"/>
      <c r="G512" s="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4"/>
      <c r="E513" s="4"/>
      <c r="F513" s="4"/>
      <c r="G513" s="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4"/>
      <c r="E514" s="4"/>
      <c r="F514" s="4"/>
      <c r="G514" s="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4"/>
      <c r="E515" s="4"/>
      <c r="F515" s="4"/>
      <c r="G515" s="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4"/>
      <c r="E516" s="4"/>
      <c r="F516" s="4"/>
      <c r="G516" s="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4"/>
      <c r="E517" s="4"/>
      <c r="F517" s="4"/>
      <c r="G517" s="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4"/>
      <c r="E518" s="4"/>
      <c r="F518" s="4"/>
      <c r="G518" s="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4"/>
      <c r="E519" s="4"/>
      <c r="F519" s="4"/>
      <c r="G519" s="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4"/>
      <c r="E520" s="4"/>
      <c r="F520" s="4"/>
      <c r="G520" s="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4"/>
      <c r="E521" s="4"/>
      <c r="F521" s="4"/>
      <c r="G521" s="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4"/>
      <c r="E522" s="4"/>
      <c r="F522" s="4"/>
      <c r="G522" s="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4"/>
      <c r="E523" s="4"/>
      <c r="F523" s="4"/>
      <c r="G523" s="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4"/>
      <c r="E524" s="4"/>
      <c r="F524" s="4"/>
      <c r="G524" s="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4"/>
      <c r="E525" s="4"/>
      <c r="F525" s="4"/>
      <c r="G525" s="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4"/>
      <c r="E526" s="4"/>
      <c r="F526" s="4"/>
      <c r="G526" s="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4"/>
      <c r="E527" s="4"/>
      <c r="F527" s="4"/>
      <c r="G527" s="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4"/>
      <c r="E528" s="4"/>
      <c r="F528" s="4"/>
      <c r="G528" s="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4"/>
      <c r="E529" s="4"/>
      <c r="F529" s="4"/>
      <c r="G529" s="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4"/>
      <c r="E530" s="4"/>
      <c r="F530" s="4"/>
      <c r="G530" s="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4"/>
      <c r="E531" s="4"/>
      <c r="F531" s="4"/>
      <c r="G531" s="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4"/>
      <c r="E532" s="4"/>
      <c r="F532" s="4"/>
      <c r="G532" s="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4"/>
      <c r="E533" s="4"/>
      <c r="F533" s="4"/>
      <c r="G533" s="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4"/>
      <c r="E534" s="4"/>
      <c r="F534" s="4"/>
      <c r="G534" s="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4"/>
      <c r="E535" s="4"/>
      <c r="F535" s="4"/>
      <c r="G535" s="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4"/>
      <c r="E536" s="4"/>
      <c r="F536" s="4"/>
      <c r="G536" s="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4"/>
      <c r="E537" s="4"/>
      <c r="F537" s="4"/>
      <c r="G537" s="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4"/>
      <c r="E538" s="4"/>
      <c r="F538" s="4"/>
      <c r="G538" s="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4"/>
      <c r="E539" s="4"/>
      <c r="F539" s="4"/>
      <c r="G539" s="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4"/>
      <c r="E540" s="4"/>
      <c r="F540" s="4"/>
      <c r="G540" s="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4"/>
      <c r="E541" s="4"/>
      <c r="F541" s="4"/>
      <c r="G541" s="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4"/>
      <c r="E542" s="4"/>
      <c r="F542" s="4"/>
      <c r="G542" s="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4"/>
      <c r="E543" s="4"/>
      <c r="F543" s="4"/>
      <c r="G543" s="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4"/>
      <c r="E544" s="4"/>
      <c r="F544" s="4"/>
      <c r="G544" s="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4"/>
      <c r="E545" s="4"/>
      <c r="F545" s="4"/>
      <c r="G545" s="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4"/>
      <c r="E546" s="4"/>
      <c r="F546" s="4"/>
      <c r="G546" s="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4"/>
      <c r="E547" s="4"/>
      <c r="F547" s="4"/>
      <c r="G547" s="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4"/>
      <c r="E548" s="4"/>
      <c r="F548" s="4"/>
      <c r="G548" s="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4"/>
      <c r="E549" s="4"/>
      <c r="F549" s="4"/>
      <c r="G549" s="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4"/>
      <c r="E550" s="4"/>
      <c r="F550" s="4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4"/>
      <c r="E551" s="4"/>
      <c r="F551" s="4"/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4"/>
      <c r="E552" s="4"/>
      <c r="F552" s="4"/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4"/>
      <c r="E553" s="4"/>
      <c r="F553" s="4"/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4"/>
      <c r="E554" s="4"/>
      <c r="F554" s="4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4"/>
      <c r="E555" s="4"/>
      <c r="F555" s="4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4"/>
      <c r="E556" s="4"/>
      <c r="F556" s="4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4"/>
      <c r="E557" s="4"/>
      <c r="F557" s="4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4"/>
      <c r="E558" s="4"/>
      <c r="F558" s="4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4"/>
      <c r="E559" s="4"/>
      <c r="F559" s="4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4"/>
      <c r="E560" s="4"/>
      <c r="F560" s="4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4"/>
      <c r="E561" s="4"/>
      <c r="F561" s="4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4"/>
      <c r="E562" s="4"/>
      <c r="F562" s="4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4"/>
      <c r="E563" s="4"/>
      <c r="F563" s="4"/>
      <c r="G563" s="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4"/>
      <c r="E564" s="4"/>
      <c r="F564" s="4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4"/>
      <c r="E565" s="4"/>
      <c r="F565" s="4"/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4"/>
      <c r="E566" s="4"/>
      <c r="F566" s="4"/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4"/>
      <c r="E567" s="4"/>
      <c r="F567" s="4"/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4"/>
      <c r="E568" s="4"/>
      <c r="F568" s="4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4"/>
      <c r="E569" s="4"/>
      <c r="F569" s="4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4"/>
      <c r="E570" s="4"/>
      <c r="F570" s="4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4"/>
      <c r="E571" s="4"/>
      <c r="F571" s="4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4"/>
      <c r="E572" s="4"/>
      <c r="F572" s="4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4"/>
      <c r="E573" s="4"/>
      <c r="F573" s="4"/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4"/>
      <c r="E574" s="4"/>
      <c r="F574" s="4"/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4"/>
      <c r="E575" s="4"/>
      <c r="F575" s="4"/>
      <c r="G575" s="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4"/>
      <c r="E576" s="4"/>
      <c r="F576" s="4"/>
      <c r="G576" s="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4"/>
      <c r="E577" s="4"/>
      <c r="F577" s="4"/>
      <c r="G577" s="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4"/>
      <c r="E578" s="4"/>
      <c r="F578" s="4"/>
      <c r="G578" s="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4"/>
      <c r="E579" s="4"/>
      <c r="F579" s="4"/>
      <c r="G579" s="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4"/>
      <c r="E580" s="4"/>
      <c r="F580" s="4"/>
      <c r="G580" s="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4"/>
      <c r="E581" s="4"/>
      <c r="F581" s="4"/>
      <c r="G581" s="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4"/>
      <c r="E582" s="4"/>
      <c r="F582" s="4"/>
      <c r="G582" s="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4"/>
      <c r="E583" s="4"/>
      <c r="F583" s="4"/>
      <c r="G583" s="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4"/>
      <c r="E584" s="4"/>
      <c r="F584" s="4"/>
      <c r="G584" s="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4"/>
      <c r="E585" s="4"/>
      <c r="F585" s="4"/>
      <c r="G585" s="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4"/>
      <c r="E586" s="4"/>
      <c r="F586" s="4"/>
      <c r="G586" s="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4"/>
      <c r="E587" s="4"/>
      <c r="F587" s="4"/>
      <c r="G587" s="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4"/>
      <c r="E588" s="4"/>
      <c r="F588" s="4"/>
      <c r="G588" s="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4"/>
      <c r="E589" s="4"/>
      <c r="F589" s="4"/>
      <c r="G589" s="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4"/>
      <c r="E590" s="4"/>
      <c r="F590" s="4"/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4"/>
      <c r="E591" s="4"/>
      <c r="F591" s="4"/>
      <c r="G591" s="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4"/>
      <c r="E592" s="4"/>
      <c r="F592" s="4"/>
      <c r="G592" s="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4"/>
      <c r="E593" s="4"/>
      <c r="F593" s="4"/>
      <c r="G593" s="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4"/>
      <c r="E594" s="4"/>
      <c r="F594" s="4"/>
      <c r="G594" s="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4"/>
      <c r="E595" s="4"/>
      <c r="F595" s="4"/>
      <c r="G595" s="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4"/>
      <c r="E596" s="4"/>
      <c r="F596" s="4"/>
      <c r="G596" s="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4"/>
      <c r="E597" s="4"/>
      <c r="F597" s="4"/>
      <c r="G597" s="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4"/>
      <c r="E598" s="4"/>
      <c r="F598" s="4"/>
      <c r="G598" s="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4"/>
      <c r="E599" s="4"/>
      <c r="F599" s="4"/>
      <c r="G599" s="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4"/>
      <c r="E600" s="4"/>
      <c r="F600" s="4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4"/>
      <c r="E601" s="4"/>
      <c r="F601" s="4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4"/>
      <c r="E602" s="4"/>
      <c r="F602" s="4"/>
      <c r="G602" s="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4"/>
      <c r="E603" s="4"/>
      <c r="F603" s="4"/>
      <c r="G603" s="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4"/>
      <c r="E604" s="4"/>
      <c r="F604" s="4"/>
      <c r="G604" s="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4"/>
      <c r="E605" s="4"/>
      <c r="F605" s="4"/>
      <c r="G605" s="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4"/>
      <c r="E606" s="4"/>
      <c r="F606" s="4"/>
      <c r="G606" s="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4"/>
      <c r="E607" s="4"/>
      <c r="F607" s="4"/>
      <c r="G607" s="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4"/>
      <c r="E608" s="4"/>
      <c r="F608" s="4"/>
      <c r="G608" s="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4"/>
      <c r="E609" s="4"/>
      <c r="F609" s="4"/>
      <c r="G609" s="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4"/>
      <c r="E610" s="4"/>
      <c r="F610" s="4"/>
      <c r="G610" s="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4"/>
      <c r="E611" s="4"/>
      <c r="F611" s="4"/>
      <c r="G611" s="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4"/>
      <c r="E612" s="4"/>
      <c r="F612" s="4"/>
      <c r="G612" s="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4"/>
      <c r="E613" s="4"/>
      <c r="F613" s="4"/>
      <c r="G613" s="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4"/>
      <c r="E614" s="4"/>
      <c r="F614" s="4"/>
      <c r="G614" s="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4"/>
      <c r="E615" s="4"/>
      <c r="F615" s="4"/>
      <c r="G615" s="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4"/>
      <c r="E616" s="4"/>
      <c r="F616" s="4"/>
      <c r="G616" s="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4"/>
      <c r="E617" s="4"/>
      <c r="F617" s="4"/>
      <c r="G617" s="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4"/>
      <c r="E618" s="4"/>
      <c r="F618" s="4"/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4"/>
      <c r="E619" s="4"/>
      <c r="F619" s="4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4"/>
      <c r="E620" s="4"/>
      <c r="F620" s="4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4"/>
      <c r="E621" s="4"/>
      <c r="F621" s="4"/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4"/>
      <c r="E622" s="4"/>
      <c r="F622" s="4"/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4"/>
      <c r="E623" s="4"/>
      <c r="F623" s="4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4"/>
      <c r="E624" s="4"/>
      <c r="F624" s="4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4"/>
      <c r="E625" s="4"/>
      <c r="F625" s="4"/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4"/>
      <c r="E626" s="4"/>
      <c r="F626" s="4"/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4"/>
      <c r="E627" s="4"/>
      <c r="F627" s="4"/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4"/>
      <c r="E628" s="4"/>
      <c r="F628" s="4"/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4"/>
      <c r="E629" s="4"/>
      <c r="F629" s="4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4"/>
      <c r="E630" s="4"/>
      <c r="F630" s="4"/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4"/>
      <c r="E631" s="4"/>
      <c r="F631" s="4"/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4"/>
      <c r="E632" s="4"/>
      <c r="F632" s="4"/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4"/>
      <c r="E633" s="4"/>
      <c r="F633" s="4"/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4"/>
      <c r="E634" s="4"/>
      <c r="F634" s="4"/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4"/>
      <c r="E635" s="4"/>
      <c r="F635" s="4"/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4"/>
      <c r="E636" s="4"/>
      <c r="F636" s="4"/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4"/>
      <c r="E637" s="4"/>
      <c r="F637" s="4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4"/>
      <c r="E638" s="4"/>
      <c r="F638" s="4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4"/>
      <c r="E639" s="4"/>
      <c r="F639" s="4"/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4"/>
      <c r="E640" s="4"/>
      <c r="F640" s="4"/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4"/>
      <c r="E641" s="4"/>
      <c r="F641" s="4"/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4"/>
      <c r="E642" s="4"/>
      <c r="F642" s="4"/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4"/>
      <c r="E643" s="4"/>
      <c r="F643" s="4"/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4"/>
      <c r="E644" s="4"/>
      <c r="F644" s="4"/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4"/>
      <c r="E645" s="4"/>
      <c r="F645" s="4"/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4"/>
      <c r="E646" s="4"/>
      <c r="F646" s="4"/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4"/>
      <c r="E647" s="4"/>
      <c r="F647" s="4"/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4"/>
      <c r="E648" s="4"/>
      <c r="F648" s="4"/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4"/>
      <c r="E649" s="4"/>
      <c r="F649" s="4"/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4"/>
      <c r="E650" s="4"/>
      <c r="F650" s="4"/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4"/>
      <c r="E651" s="4"/>
      <c r="F651" s="4"/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4"/>
      <c r="E652" s="4"/>
      <c r="F652" s="4"/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4"/>
      <c r="E653" s="4"/>
      <c r="F653" s="4"/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4"/>
      <c r="E654" s="4"/>
      <c r="F654" s="4"/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4"/>
      <c r="E655" s="4"/>
      <c r="F655" s="4"/>
      <c r="G655" s="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4"/>
      <c r="E656" s="4"/>
      <c r="F656" s="4"/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4"/>
      <c r="E657" s="4"/>
      <c r="F657" s="4"/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4"/>
      <c r="E658" s="4"/>
      <c r="F658" s="4"/>
      <c r="G658" s="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4"/>
      <c r="E659" s="4"/>
      <c r="F659" s="4"/>
      <c r="G659" s="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4"/>
      <c r="E660" s="4"/>
      <c r="F660" s="4"/>
      <c r="G660" s="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4"/>
      <c r="E661" s="4"/>
      <c r="F661" s="4"/>
      <c r="G661" s="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4"/>
      <c r="E662" s="4"/>
      <c r="F662" s="4"/>
      <c r="G662" s="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4"/>
      <c r="E663" s="4"/>
      <c r="F663" s="4"/>
      <c r="G663" s="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4"/>
      <c r="E664" s="4"/>
      <c r="F664" s="4"/>
      <c r="G664" s="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4"/>
      <c r="E665" s="4"/>
      <c r="F665" s="4"/>
      <c r="G665" s="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4"/>
      <c r="E666" s="4"/>
      <c r="F666" s="4"/>
      <c r="G666" s="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4"/>
      <c r="E667" s="4"/>
      <c r="F667" s="4"/>
      <c r="G667" s="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4"/>
      <c r="E668" s="4"/>
      <c r="F668" s="4"/>
      <c r="G668" s="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4"/>
      <c r="E669" s="4"/>
      <c r="F669" s="4"/>
      <c r="G669" s="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4"/>
      <c r="E670" s="4"/>
      <c r="F670" s="4"/>
      <c r="G670" s="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4"/>
      <c r="E671" s="4"/>
      <c r="F671" s="4"/>
      <c r="G671" s="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4"/>
      <c r="E672" s="4"/>
      <c r="F672" s="4"/>
      <c r="G672" s="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4"/>
      <c r="E673" s="4"/>
      <c r="F673" s="4"/>
      <c r="G673" s="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4"/>
      <c r="E674" s="4"/>
      <c r="F674" s="4"/>
      <c r="G674" s="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4"/>
      <c r="E675" s="4"/>
      <c r="F675" s="4"/>
      <c r="G675" s="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4"/>
      <c r="E676" s="4"/>
      <c r="F676" s="4"/>
      <c r="G676" s="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4"/>
      <c r="E677" s="4"/>
      <c r="F677" s="4"/>
      <c r="G677" s="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4"/>
      <c r="E678" s="4"/>
      <c r="F678" s="4"/>
      <c r="G678" s="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4"/>
      <c r="E679" s="4"/>
      <c r="F679" s="4"/>
      <c r="G679" s="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4"/>
      <c r="E680" s="4"/>
      <c r="F680" s="4"/>
      <c r="G680" s="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4"/>
      <c r="E681" s="4"/>
      <c r="F681" s="4"/>
      <c r="G681" s="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4"/>
      <c r="E682" s="4"/>
      <c r="F682" s="4"/>
      <c r="G682" s="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4"/>
      <c r="E683" s="4"/>
      <c r="F683" s="4"/>
      <c r="G683" s="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4"/>
      <c r="E684" s="4"/>
      <c r="F684" s="4"/>
      <c r="G684" s="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4"/>
      <c r="E685" s="4"/>
      <c r="F685" s="4"/>
      <c r="G685" s="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4"/>
      <c r="E686" s="4"/>
      <c r="F686" s="4"/>
      <c r="G686" s="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4"/>
      <c r="E687" s="4"/>
      <c r="F687" s="4"/>
      <c r="G687" s="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4"/>
      <c r="E688" s="4"/>
      <c r="F688" s="4"/>
      <c r="G688" s="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4"/>
      <c r="E689" s="4"/>
      <c r="F689" s="4"/>
      <c r="G689" s="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4"/>
      <c r="E690" s="4"/>
      <c r="F690" s="4"/>
      <c r="G690" s="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4"/>
      <c r="E691" s="4"/>
      <c r="F691" s="4"/>
      <c r="G691" s="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4"/>
      <c r="E692" s="4"/>
      <c r="F692" s="4"/>
      <c r="G692" s="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4"/>
      <c r="E693" s="4"/>
      <c r="F693" s="4"/>
      <c r="G693" s="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4"/>
      <c r="E694" s="4"/>
      <c r="F694" s="4"/>
      <c r="G694" s="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4"/>
      <c r="E695" s="4"/>
      <c r="F695" s="4"/>
      <c r="G695" s="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4"/>
      <c r="E696" s="4"/>
      <c r="F696" s="4"/>
      <c r="G696" s="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4"/>
      <c r="E697" s="4"/>
      <c r="F697" s="4"/>
      <c r="G697" s="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4"/>
      <c r="E698" s="4"/>
      <c r="F698" s="4"/>
      <c r="G698" s="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4"/>
      <c r="E699" s="4"/>
      <c r="F699" s="4"/>
      <c r="G699" s="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4"/>
      <c r="E700" s="4"/>
      <c r="F700" s="4"/>
      <c r="G700" s="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4"/>
      <c r="E701" s="4"/>
      <c r="F701" s="4"/>
      <c r="G701" s="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4"/>
      <c r="E702" s="4"/>
      <c r="F702" s="4"/>
      <c r="G702" s="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4"/>
      <c r="E703" s="4"/>
      <c r="F703" s="4"/>
      <c r="G703" s="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4"/>
      <c r="E704" s="4"/>
      <c r="F704" s="4"/>
      <c r="G704" s="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4"/>
      <c r="E705" s="4"/>
      <c r="F705" s="4"/>
      <c r="G705" s="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4"/>
      <c r="E706" s="4"/>
      <c r="F706" s="4"/>
      <c r="G706" s="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4"/>
      <c r="E707" s="4"/>
      <c r="F707" s="4"/>
      <c r="G707" s="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4"/>
      <c r="E708" s="4"/>
      <c r="F708" s="4"/>
      <c r="G708" s="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4"/>
      <c r="E709" s="4"/>
      <c r="F709" s="4"/>
      <c r="G709" s="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4"/>
      <c r="E710" s="4"/>
      <c r="F710" s="4"/>
      <c r="G710" s="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4"/>
      <c r="E711" s="4"/>
      <c r="F711" s="4"/>
      <c r="G711" s="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4"/>
      <c r="E712" s="4"/>
      <c r="F712" s="4"/>
      <c r="G712" s="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4"/>
      <c r="E713" s="4"/>
      <c r="F713" s="4"/>
      <c r="G713" s="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4"/>
      <c r="E714" s="4"/>
      <c r="F714" s="4"/>
      <c r="G714" s="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4"/>
      <c r="E715" s="4"/>
      <c r="F715" s="4"/>
      <c r="G715" s="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4"/>
      <c r="E716" s="4"/>
      <c r="F716" s="4"/>
      <c r="G716" s="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4"/>
      <c r="E717" s="4"/>
      <c r="F717" s="4"/>
      <c r="G717" s="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4"/>
      <c r="E718" s="4"/>
      <c r="F718" s="4"/>
      <c r="G718" s="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4"/>
      <c r="E719" s="4"/>
      <c r="F719" s="4"/>
      <c r="G719" s="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4"/>
      <c r="E720" s="4"/>
      <c r="F720" s="4"/>
      <c r="G720" s="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4"/>
      <c r="E721" s="4"/>
      <c r="F721" s="4"/>
      <c r="G721" s="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4"/>
      <c r="E722" s="4"/>
      <c r="F722" s="4"/>
      <c r="G722" s="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4"/>
      <c r="E723" s="4"/>
      <c r="F723" s="4"/>
      <c r="G723" s="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4"/>
      <c r="E724" s="4"/>
      <c r="F724" s="4"/>
      <c r="G724" s="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4"/>
      <c r="E725" s="4"/>
      <c r="F725" s="4"/>
      <c r="G725" s="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4"/>
      <c r="E726" s="4"/>
      <c r="F726" s="4"/>
      <c r="G726" s="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4"/>
      <c r="E727" s="4"/>
      <c r="F727" s="4"/>
      <c r="G727" s="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4"/>
      <c r="E728" s="4"/>
      <c r="F728" s="4"/>
      <c r="G728" s="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4"/>
      <c r="E729" s="4"/>
      <c r="F729" s="4"/>
      <c r="G729" s="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4"/>
      <c r="E730" s="4"/>
      <c r="F730" s="4"/>
      <c r="G730" s="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4"/>
      <c r="E731" s="4"/>
      <c r="F731" s="4"/>
      <c r="G731" s="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4"/>
      <c r="E732" s="4"/>
      <c r="F732" s="4"/>
      <c r="G732" s="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4"/>
      <c r="E733" s="4"/>
      <c r="F733" s="4"/>
      <c r="G733" s="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4"/>
      <c r="E734" s="4"/>
      <c r="F734" s="4"/>
      <c r="G734" s="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4"/>
      <c r="E735" s="4"/>
      <c r="F735" s="4"/>
      <c r="G735" s="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4"/>
      <c r="E736" s="4"/>
      <c r="F736" s="4"/>
      <c r="G736" s="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4"/>
      <c r="E737" s="4"/>
      <c r="F737" s="4"/>
      <c r="G737" s="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4"/>
      <c r="E738" s="4"/>
      <c r="F738" s="4"/>
      <c r="G738" s="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4"/>
      <c r="E739" s="4"/>
      <c r="F739" s="4"/>
      <c r="G739" s="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4"/>
      <c r="E740" s="4"/>
      <c r="F740" s="4"/>
      <c r="G740" s="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4"/>
      <c r="E741" s="4"/>
      <c r="F741" s="4"/>
      <c r="G741" s="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4"/>
      <c r="E742" s="4"/>
      <c r="F742" s="4"/>
      <c r="G742" s="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4"/>
      <c r="E743" s="4"/>
      <c r="F743" s="4"/>
      <c r="G743" s="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4"/>
      <c r="E744" s="4"/>
      <c r="F744" s="4"/>
      <c r="G744" s="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4"/>
      <c r="E745" s="4"/>
      <c r="F745" s="4"/>
      <c r="G745" s="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4"/>
      <c r="E746" s="4"/>
      <c r="F746" s="4"/>
      <c r="G746" s="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4"/>
      <c r="E747" s="4"/>
      <c r="F747" s="4"/>
      <c r="G747" s="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4"/>
      <c r="E748" s="4"/>
      <c r="F748" s="4"/>
      <c r="G748" s="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4"/>
      <c r="E749" s="4"/>
      <c r="F749" s="4"/>
      <c r="G749" s="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4"/>
      <c r="E750" s="4"/>
      <c r="F750" s="4"/>
      <c r="G750" s="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4"/>
      <c r="E751" s="4"/>
      <c r="F751" s="4"/>
      <c r="G751" s="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4"/>
      <c r="E752" s="4"/>
      <c r="F752" s="4"/>
      <c r="G752" s="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4"/>
      <c r="E753" s="4"/>
      <c r="F753" s="4"/>
      <c r="G753" s="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4"/>
      <c r="E754" s="4"/>
      <c r="F754" s="4"/>
      <c r="G754" s="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4"/>
      <c r="E755" s="4"/>
      <c r="F755" s="4"/>
      <c r="G755" s="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4"/>
      <c r="E756" s="4"/>
      <c r="F756" s="4"/>
      <c r="G756" s="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4"/>
      <c r="E757" s="4"/>
      <c r="F757" s="4"/>
      <c r="G757" s="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4"/>
      <c r="E758" s="4"/>
      <c r="F758" s="4"/>
      <c r="G758" s="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4"/>
      <c r="E759" s="4"/>
      <c r="F759" s="4"/>
      <c r="G759" s="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4"/>
      <c r="E760" s="4"/>
      <c r="F760" s="4"/>
      <c r="G760" s="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4"/>
      <c r="E761" s="4"/>
      <c r="F761" s="4"/>
      <c r="G761" s="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4"/>
      <c r="E762" s="4"/>
      <c r="F762" s="4"/>
      <c r="G762" s="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4"/>
      <c r="E763" s="4"/>
      <c r="F763" s="4"/>
      <c r="G763" s="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4"/>
      <c r="E764" s="4"/>
      <c r="F764" s="4"/>
      <c r="G764" s="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4"/>
      <c r="E765" s="4"/>
      <c r="F765" s="4"/>
      <c r="G765" s="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4"/>
      <c r="E766" s="4"/>
      <c r="F766" s="4"/>
      <c r="G766" s="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4"/>
      <c r="E767" s="4"/>
      <c r="F767" s="4"/>
      <c r="G767" s="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4"/>
      <c r="E768" s="4"/>
      <c r="F768" s="4"/>
      <c r="G768" s="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4"/>
      <c r="E769" s="4"/>
      <c r="F769" s="4"/>
      <c r="G769" s="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4"/>
      <c r="E770" s="4"/>
      <c r="F770" s="4"/>
      <c r="G770" s="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4"/>
      <c r="E771" s="4"/>
      <c r="F771" s="4"/>
      <c r="G771" s="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4"/>
      <c r="E772" s="4"/>
      <c r="F772" s="4"/>
      <c r="G772" s="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4"/>
      <c r="E773" s="4"/>
      <c r="F773" s="4"/>
      <c r="G773" s="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4"/>
      <c r="E774" s="4"/>
      <c r="F774" s="4"/>
      <c r="G774" s="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4"/>
      <c r="E775" s="4"/>
      <c r="F775" s="4"/>
      <c r="G775" s="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4"/>
      <c r="E776" s="4"/>
      <c r="F776" s="4"/>
      <c r="G776" s="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4"/>
      <c r="E777" s="4"/>
      <c r="F777" s="4"/>
      <c r="G777" s="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4"/>
      <c r="E778" s="4"/>
      <c r="F778" s="4"/>
      <c r="G778" s="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4"/>
      <c r="E779" s="4"/>
      <c r="F779" s="4"/>
      <c r="G779" s="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4"/>
      <c r="E780" s="4"/>
      <c r="F780" s="4"/>
      <c r="G780" s="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4"/>
      <c r="E781" s="4"/>
      <c r="F781" s="4"/>
      <c r="G781" s="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4"/>
      <c r="E782" s="4"/>
      <c r="F782" s="4"/>
      <c r="G782" s="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4"/>
      <c r="E783" s="4"/>
      <c r="F783" s="4"/>
      <c r="G783" s="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4"/>
      <c r="E784" s="4"/>
      <c r="F784" s="4"/>
      <c r="G784" s="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4"/>
      <c r="E785" s="4"/>
      <c r="F785" s="4"/>
      <c r="G785" s="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4"/>
      <c r="E786" s="4"/>
      <c r="F786" s="4"/>
      <c r="G786" s="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4"/>
      <c r="E787" s="4"/>
      <c r="F787" s="4"/>
      <c r="G787" s="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4"/>
      <c r="E788" s="4"/>
      <c r="F788" s="4"/>
      <c r="G788" s="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4"/>
      <c r="E789" s="4"/>
      <c r="F789" s="4"/>
      <c r="G789" s="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4"/>
      <c r="E790" s="4"/>
      <c r="F790" s="4"/>
      <c r="G790" s="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4"/>
      <c r="E791" s="4"/>
      <c r="F791" s="4"/>
      <c r="G791" s="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4"/>
      <c r="E792" s="4"/>
      <c r="F792" s="4"/>
      <c r="G792" s="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4"/>
      <c r="E793" s="4"/>
      <c r="F793" s="4"/>
      <c r="G793" s="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4"/>
      <c r="E794" s="4"/>
      <c r="F794" s="4"/>
      <c r="G794" s="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4"/>
      <c r="E795" s="4"/>
      <c r="F795" s="4"/>
      <c r="G795" s="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4"/>
      <c r="E796" s="4"/>
      <c r="F796" s="4"/>
      <c r="G796" s="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4"/>
      <c r="E797" s="4"/>
      <c r="F797" s="4"/>
      <c r="G797" s="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4"/>
      <c r="E798" s="4"/>
      <c r="F798" s="4"/>
      <c r="G798" s="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4"/>
      <c r="E799" s="4"/>
      <c r="F799" s="4"/>
      <c r="G799" s="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4"/>
      <c r="E800" s="4"/>
      <c r="F800" s="4"/>
      <c r="G800" s="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4"/>
      <c r="E801" s="4"/>
      <c r="F801" s="4"/>
      <c r="G801" s="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4"/>
      <c r="E802" s="4"/>
      <c r="F802" s="4"/>
      <c r="G802" s="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4"/>
      <c r="E803" s="4"/>
      <c r="F803" s="4"/>
      <c r="G803" s="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4"/>
      <c r="E804" s="4"/>
      <c r="F804" s="4"/>
      <c r="G804" s="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4"/>
      <c r="E805" s="4"/>
      <c r="F805" s="4"/>
      <c r="G805" s="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4"/>
      <c r="E806" s="4"/>
      <c r="F806" s="4"/>
      <c r="G806" s="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4"/>
      <c r="E807" s="4"/>
      <c r="F807" s="4"/>
      <c r="G807" s="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4"/>
      <c r="E808" s="4"/>
      <c r="F808" s="4"/>
      <c r="G808" s="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4"/>
      <c r="E809" s="4"/>
      <c r="F809" s="4"/>
      <c r="G809" s="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4"/>
      <c r="E810" s="4"/>
      <c r="F810" s="4"/>
      <c r="G810" s="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4"/>
      <c r="E811" s="4"/>
      <c r="F811" s="4"/>
      <c r="G811" s="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4"/>
      <c r="E812" s="4"/>
      <c r="F812" s="4"/>
      <c r="G812" s="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4"/>
      <c r="E813" s="4"/>
      <c r="F813" s="4"/>
      <c r="G813" s="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4"/>
      <c r="E814" s="4"/>
      <c r="F814" s="4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4"/>
      <c r="E815" s="4"/>
      <c r="F815" s="4"/>
      <c r="G815" s="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4"/>
      <c r="E816" s="4"/>
      <c r="F816" s="4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4"/>
      <c r="E817" s="4"/>
      <c r="F817" s="4"/>
      <c r="G817" s="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4"/>
      <c r="E818" s="4"/>
      <c r="F818" s="4"/>
      <c r="G818" s="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4"/>
      <c r="E819" s="4"/>
      <c r="F819" s="4"/>
      <c r="G819" s="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4"/>
      <c r="E820" s="4"/>
      <c r="F820" s="4"/>
      <c r="G820" s="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4"/>
      <c r="E821" s="4"/>
      <c r="F821" s="4"/>
      <c r="G821" s="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4"/>
      <c r="E822" s="4"/>
      <c r="F822" s="4"/>
      <c r="G822" s="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4"/>
      <c r="E823" s="4"/>
      <c r="F823" s="4"/>
      <c r="G823" s="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4"/>
      <c r="E824" s="4"/>
      <c r="F824" s="4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4"/>
      <c r="E825" s="4"/>
      <c r="F825" s="4"/>
      <c r="G825" s="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4"/>
      <c r="E826" s="4"/>
      <c r="F826" s="4"/>
      <c r="G826" s="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4"/>
      <c r="E827" s="4"/>
      <c r="F827" s="4"/>
      <c r="G827" s="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4"/>
      <c r="E828" s="4"/>
      <c r="F828" s="4"/>
      <c r="G828" s="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4"/>
      <c r="E829" s="4"/>
      <c r="F829" s="4"/>
      <c r="G829" s="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4"/>
      <c r="E830" s="4"/>
      <c r="F830" s="4"/>
      <c r="G830" s="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4"/>
      <c r="E831" s="4"/>
      <c r="F831" s="4"/>
      <c r="G831" s="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4"/>
      <c r="E832" s="4"/>
      <c r="F832" s="4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4"/>
      <c r="E833" s="4"/>
      <c r="F833" s="4"/>
      <c r="G833" s="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4"/>
      <c r="E834" s="4"/>
      <c r="F834" s="4"/>
      <c r="G834" s="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4"/>
      <c r="E835" s="4"/>
      <c r="F835" s="4"/>
      <c r="G835" s="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4"/>
      <c r="E836" s="4"/>
      <c r="F836" s="4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4"/>
      <c r="E837" s="4"/>
      <c r="F837" s="4"/>
      <c r="G837" s="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4"/>
      <c r="E838" s="4"/>
      <c r="F838" s="4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4"/>
      <c r="E839" s="4"/>
      <c r="F839" s="4"/>
      <c r="G839" s="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4"/>
      <c r="E840" s="4"/>
      <c r="F840" s="4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4"/>
      <c r="E841" s="4"/>
      <c r="F841" s="4"/>
      <c r="G841" s="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4"/>
      <c r="E842" s="4"/>
      <c r="F842" s="4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4"/>
      <c r="E843" s="4"/>
      <c r="F843" s="4"/>
      <c r="G843" s="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4"/>
      <c r="E844" s="4"/>
      <c r="F844" s="4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4"/>
      <c r="E845" s="4"/>
      <c r="F845" s="4"/>
      <c r="G845" s="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4"/>
      <c r="E846" s="4"/>
      <c r="F846" s="4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4"/>
      <c r="E847" s="4"/>
      <c r="F847" s="4"/>
      <c r="G847" s="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4"/>
      <c r="E848" s="4"/>
      <c r="F848" s="4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4"/>
      <c r="E849" s="4"/>
      <c r="F849" s="4"/>
      <c r="G849" s="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4"/>
      <c r="E850" s="4"/>
      <c r="F850" s="4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4"/>
      <c r="E851" s="4"/>
      <c r="F851" s="4"/>
      <c r="G851" s="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4"/>
      <c r="E852" s="4"/>
      <c r="F852" s="4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4"/>
      <c r="E853" s="4"/>
      <c r="F853" s="4"/>
      <c r="G853" s="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4"/>
      <c r="E854" s="4"/>
      <c r="F854" s="4"/>
      <c r="G854" s="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4"/>
      <c r="E855" s="4"/>
      <c r="F855" s="4"/>
      <c r="G855" s="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4"/>
      <c r="E856" s="4"/>
      <c r="F856" s="4"/>
      <c r="G856" s="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4"/>
      <c r="E857" s="4"/>
      <c r="F857" s="4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4"/>
      <c r="E858" s="4"/>
      <c r="F858" s="4"/>
      <c r="G858" s="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4"/>
      <c r="E859" s="4"/>
      <c r="F859" s="4"/>
      <c r="G859" s="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4"/>
      <c r="E860" s="4"/>
      <c r="F860" s="4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4"/>
      <c r="E861" s="4"/>
      <c r="F861" s="4"/>
      <c r="G861" s="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4"/>
      <c r="E862" s="4"/>
      <c r="F862" s="4"/>
      <c r="G862" s="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4"/>
      <c r="E863" s="4"/>
      <c r="F863" s="4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4"/>
      <c r="E864" s="4"/>
      <c r="F864" s="4"/>
      <c r="G864" s="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4"/>
      <c r="E865" s="4"/>
      <c r="F865" s="4"/>
      <c r="G865" s="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4"/>
      <c r="E866" s="4"/>
      <c r="F866" s="4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4"/>
      <c r="E867" s="4"/>
      <c r="F867" s="4"/>
      <c r="G867" s="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4"/>
      <c r="E868" s="4"/>
      <c r="F868" s="4"/>
      <c r="G868" s="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4"/>
      <c r="E869" s="4"/>
      <c r="F869" s="4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4"/>
      <c r="E870" s="4"/>
      <c r="F870" s="4"/>
      <c r="G870" s="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4"/>
      <c r="E871" s="4"/>
      <c r="F871" s="4"/>
      <c r="G871" s="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4"/>
      <c r="E872" s="4"/>
      <c r="F872" s="4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4"/>
      <c r="E873" s="4"/>
      <c r="F873" s="4"/>
      <c r="G873" s="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4"/>
      <c r="E874" s="4"/>
      <c r="F874" s="4"/>
      <c r="G874" s="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4"/>
      <c r="E875" s="4"/>
      <c r="F875" s="4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4"/>
      <c r="E876" s="4"/>
      <c r="F876" s="4"/>
      <c r="G876" s="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4"/>
      <c r="E877" s="4"/>
      <c r="F877" s="4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4"/>
      <c r="E878" s="4"/>
      <c r="F878" s="4"/>
      <c r="G878" s="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4"/>
      <c r="E879" s="4"/>
      <c r="F879" s="4"/>
      <c r="G879" s="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4"/>
      <c r="E880" s="4"/>
      <c r="F880" s="4"/>
      <c r="G880" s="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4"/>
      <c r="E881" s="4"/>
      <c r="F881" s="4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4"/>
      <c r="E882" s="4"/>
      <c r="F882" s="4"/>
      <c r="G882" s="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4"/>
      <c r="E883" s="4"/>
      <c r="F883" s="4"/>
      <c r="G883" s="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4"/>
      <c r="E884" s="4"/>
      <c r="F884" s="4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4"/>
      <c r="E885" s="4"/>
      <c r="F885" s="4"/>
      <c r="G885" s="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4"/>
      <c r="E886" s="4"/>
      <c r="F886" s="4"/>
      <c r="G886" s="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4"/>
      <c r="E887" s="4"/>
      <c r="F887" s="4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4"/>
      <c r="E888" s="4"/>
      <c r="F888" s="4"/>
      <c r="G888" s="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4"/>
      <c r="E889" s="4"/>
      <c r="F889" s="4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4"/>
      <c r="E890" s="4"/>
      <c r="F890" s="4"/>
      <c r="G890" s="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4"/>
      <c r="E891" s="4"/>
      <c r="F891" s="4"/>
      <c r="G891" s="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4"/>
      <c r="E892" s="4"/>
      <c r="F892" s="4"/>
      <c r="G892" s="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4"/>
      <c r="E893" s="4"/>
      <c r="F893" s="4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4"/>
      <c r="E894" s="4"/>
      <c r="F894" s="4"/>
      <c r="G894" s="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4"/>
      <c r="E895" s="4"/>
      <c r="F895" s="4"/>
      <c r="G895" s="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4"/>
      <c r="E896" s="4"/>
      <c r="F896" s="4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4"/>
      <c r="E897" s="4"/>
      <c r="F897" s="4"/>
      <c r="G897" s="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4"/>
      <c r="E898" s="4"/>
      <c r="F898" s="4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4"/>
      <c r="E899" s="4"/>
      <c r="F899" s="4"/>
      <c r="G899" s="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4"/>
      <c r="E900" s="4"/>
      <c r="F900" s="4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4"/>
      <c r="E901" s="4"/>
      <c r="F901" s="4"/>
      <c r="G901" s="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4"/>
      <c r="E902" s="4"/>
      <c r="F902" s="4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4"/>
      <c r="E903" s="4"/>
      <c r="F903" s="4"/>
      <c r="G903" s="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4"/>
      <c r="E904" s="4"/>
      <c r="F904" s="4"/>
      <c r="G904" s="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4"/>
      <c r="E905" s="4"/>
      <c r="F905" s="4"/>
      <c r="G905" s="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4"/>
      <c r="E906" s="4"/>
      <c r="F906" s="4"/>
      <c r="G906" s="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4"/>
      <c r="E907" s="4"/>
      <c r="F907" s="4"/>
      <c r="G907" s="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4"/>
      <c r="E908" s="4"/>
      <c r="F908" s="4"/>
      <c r="G908" s="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4"/>
      <c r="E909" s="4"/>
      <c r="F909" s="4"/>
      <c r="G909" s="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4"/>
      <c r="E910" s="4"/>
      <c r="F910" s="4"/>
      <c r="G910" s="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4"/>
      <c r="E911" s="4"/>
      <c r="F911" s="4"/>
      <c r="G911" s="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4"/>
      <c r="E912" s="4"/>
      <c r="F912" s="4"/>
      <c r="G912" s="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4"/>
      <c r="E913" s="4"/>
      <c r="F913" s="4"/>
      <c r="G913" s="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4"/>
      <c r="E914" s="4"/>
      <c r="F914" s="4"/>
      <c r="G914" s="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4"/>
      <c r="E915" s="4"/>
      <c r="F915" s="4"/>
      <c r="G915" s="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4"/>
      <c r="E916" s="4"/>
      <c r="F916" s="4"/>
      <c r="G916" s="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4"/>
      <c r="E917" s="4"/>
      <c r="F917" s="4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4"/>
      <c r="E918" s="4"/>
      <c r="F918" s="4"/>
      <c r="G918" s="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4"/>
      <c r="E919" s="4"/>
      <c r="F919" s="4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4"/>
      <c r="E920" s="4"/>
      <c r="F920" s="4"/>
      <c r="G920" s="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4"/>
      <c r="E921" s="4"/>
      <c r="F921" s="4"/>
      <c r="G921" s="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4"/>
      <c r="E922" s="4"/>
      <c r="F922" s="4"/>
      <c r="G922" s="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4"/>
      <c r="E923" s="4"/>
      <c r="F923" s="4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4"/>
      <c r="E924" s="4"/>
      <c r="F924" s="4"/>
      <c r="G924" s="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4"/>
      <c r="E925" s="4"/>
      <c r="F925" s="4"/>
      <c r="G925" s="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4"/>
      <c r="E926" s="4"/>
      <c r="F926" s="4"/>
      <c r="G926" s="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4"/>
      <c r="E927" s="4"/>
      <c r="F927" s="4"/>
      <c r="G927" s="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4"/>
      <c r="E928" s="4"/>
      <c r="F928" s="4"/>
      <c r="G928" s="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4"/>
      <c r="E929" s="4"/>
      <c r="F929" s="4"/>
      <c r="G929" s="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4"/>
      <c r="E930" s="4"/>
      <c r="F930" s="4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4"/>
      <c r="E931" s="4"/>
      <c r="F931" s="4"/>
      <c r="G931" s="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4"/>
      <c r="E932" s="4"/>
      <c r="F932" s="4"/>
      <c r="G932" s="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4"/>
      <c r="E933" s="4"/>
      <c r="F933" s="4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4"/>
      <c r="E934" s="4"/>
      <c r="F934" s="4"/>
      <c r="G934" s="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4"/>
      <c r="E935" s="4"/>
      <c r="F935" s="4"/>
      <c r="G935" s="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4"/>
      <c r="E936" s="4"/>
      <c r="F936" s="4"/>
      <c r="G936" s="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4"/>
      <c r="E937" s="4"/>
      <c r="F937" s="4"/>
      <c r="G937" s="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4"/>
      <c r="E938" s="4"/>
      <c r="F938" s="4"/>
      <c r="G938" s="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4"/>
      <c r="E939" s="4"/>
      <c r="F939" s="4"/>
      <c r="G939" s="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4"/>
      <c r="E940" s="4"/>
      <c r="F940" s="4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4"/>
      <c r="E941" s="4"/>
      <c r="F941" s="4"/>
      <c r="G941" s="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4"/>
      <c r="E942" s="4"/>
      <c r="F942" s="4"/>
      <c r="G942" s="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4"/>
      <c r="E943" s="4"/>
      <c r="F943" s="4"/>
      <c r="G943" s="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4"/>
      <c r="E944" s="4"/>
      <c r="F944" s="4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4"/>
      <c r="E945" s="4"/>
      <c r="F945" s="4"/>
      <c r="G945" s="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4"/>
      <c r="E946" s="4"/>
      <c r="F946" s="4"/>
      <c r="G946" s="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4"/>
      <c r="E947" s="4"/>
      <c r="F947" s="4"/>
      <c r="G947" s="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4"/>
      <c r="E948" s="4"/>
      <c r="F948" s="4"/>
      <c r="G948" s="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4"/>
      <c r="E949" s="4"/>
      <c r="F949" s="4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4"/>
      <c r="E950" s="4"/>
      <c r="F950" s="4"/>
      <c r="G950" s="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4"/>
      <c r="E951" s="4"/>
      <c r="F951" s="4"/>
      <c r="G951" s="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4"/>
      <c r="E952" s="4"/>
      <c r="F952" s="4"/>
      <c r="G952" s="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4"/>
      <c r="E953" s="4"/>
      <c r="F953" s="4"/>
      <c r="G953" s="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4"/>
      <c r="E954" s="4"/>
      <c r="F954" s="4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4"/>
      <c r="E955" s="4"/>
      <c r="F955" s="4"/>
      <c r="G955" s="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4"/>
      <c r="E956" s="4"/>
      <c r="F956" s="4"/>
      <c r="G956" s="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4"/>
      <c r="E957" s="4"/>
      <c r="F957" s="4"/>
      <c r="G957" s="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4"/>
      <c r="E958" s="4"/>
      <c r="F958" s="4"/>
      <c r="G958" s="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4"/>
      <c r="E959" s="4"/>
      <c r="F959" s="4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4"/>
      <c r="E960" s="4"/>
      <c r="F960" s="4"/>
      <c r="G960" s="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4"/>
      <c r="E961" s="4"/>
      <c r="F961" s="4"/>
      <c r="G961" s="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4"/>
      <c r="E962" s="4"/>
      <c r="F962" s="4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4"/>
      <c r="E963" s="4"/>
      <c r="F963" s="4"/>
      <c r="G963" s="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4"/>
      <c r="E964" s="4"/>
      <c r="F964" s="4"/>
      <c r="G964" s="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4"/>
      <c r="E965" s="4"/>
      <c r="F965" s="4"/>
      <c r="G965" s="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4"/>
      <c r="E966" s="4"/>
      <c r="F966" s="4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4"/>
      <c r="E967" s="4"/>
      <c r="F967" s="4"/>
      <c r="G967" s="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4"/>
      <c r="E968" s="4"/>
      <c r="F968" s="4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4"/>
      <c r="E969" s="4"/>
      <c r="F969" s="4"/>
      <c r="G969" s="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4"/>
      <c r="E970" s="4"/>
      <c r="F970" s="4"/>
      <c r="G970" s="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4"/>
      <c r="E971" s="4"/>
      <c r="F971" s="4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4"/>
      <c r="E972" s="4"/>
      <c r="F972" s="4"/>
      <c r="G972" s="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4"/>
      <c r="E973" s="4"/>
      <c r="F973" s="4"/>
      <c r="G973" s="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4"/>
      <c r="E974" s="4"/>
      <c r="F974" s="4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4"/>
      <c r="E975" s="4"/>
      <c r="F975" s="4"/>
      <c r="G975" s="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4"/>
      <c r="E976" s="4"/>
      <c r="F976" s="4"/>
      <c r="G976" s="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4"/>
      <c r="E977" s="4"/>
      <c r="F977" s="4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4"/>
      <c r="E978" s="4"/>
      <c r="F978" s="4"/>
      <c r="G978" s="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4"/>
      <c r="E979" s="4"/>
      <c r="F979" s="4"/>
      <c r="G979" s="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4"/>
      <c r="E980" s="4"/>
      <c r="F980" s="4"/>
      <c r="G980" s="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4"/>
      <c r="E981" s="4"/>
      <c r="F981" s="4"/>
      <c r="G981" s="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4"/>
      <c r="E982" s="4"/>
      <c r="F982" s="4"/>
      <c r="G982" s="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4"/>
      <c r="E983" s="4"/>
      <c r="F983" s="4"/>
      <c r="G983" s="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4"/>
      <c r="E984" s="4"/>
      <c r="F984" s="4"/>
      <c r="G984" s="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4"/>
      <c r="E985" s="4"/>
      <c r="F985" s="4"/>
      <c r="G985" s="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4"/>
      <c r="E986" s="4"/>
      <c r="F986" s="4"/>
      <c r="G986" s="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4"/>
      <c r="E987" s="4"/>
      <c r="F987" s="4"/>
      <c r="G987" s="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4"/>
      <c r="E988" s="4"/>
      <c r="F988" s="4"/>
      <c r="G988" s="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4"/>
      <c r="E989" s="4"/>
      <c r="F989" s="4"/>
      <c r="G989" s="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4"/>
      <c r="E990" s="4"/>
      <c r="F990" s="4"/>
      <c r="G990" s="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4"/>
      <c r="E991" s="4"/>
      <c r="F991" s="4"/>
      <c r="G991" s="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4"/>
      <c r="E992" s="4"/>
      <c r="F992" s="4"/>
      <c r="G992" s="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4"/>
      <c r="E993" s="4"/>
      <c r="F993" s="4"/>
      <c r="G993" s="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4"/>
      <c r="E994" s="4"/>
      <c r="F994" s="4"/>
      <c r="G994" s="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4"/>
      <c r="E995" s="4"/>
      <c r="F995" s="4"/>
      <c r="G995" s="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sheetProtection/>
  <mergeCells count="13">
    <mergeCell ref="A2:F2"/>
    <mergeCell ref="A21:C21"/>
    <mergeCell ref="A28:D28"/>
    <mergeCell ref="A16:D16"/>
    <mergeCell ref="A14:D14"/>
    <mergeCell ref="A19:D19"/>
    <mergeCell ref="A11:F11"/>
    <mergeCell ref="A44:D44"/>
    <mergeCell ref="A52:F52"/>
    <mergeCell ref="A8:F8"/>
    <mergeCell ref="A9:F9"/>
    <mergeCell ref="A37:D37"/>
    <mergeCell ref="A36:E36"/>
  </mergeCells>
  <hyperlinks>
    <hyperlink ref="A24" location="AbaDeprec" display=" 3.1.1. Depreciação "/>
    <hyperlink ref="A25" location="AbaRemun" display=" 3.1.2. Remuneração do Capital "/>
    <hyperlink ref="A162" location="AbaDeprec" display="3.1.1. Depreciação"/>
    <hyperlink ref="A178" location="AbaRemun" display="3.1.2. Remuneração do Capital"/>
  </hyperlinks>
  <printOptions/>
  <pageMargins left="0.905555555555556" right="0.511805555555555" top="0.747916666666667" bottom="0.747916666666667" header="0" footer="0"/>
  <pageSetup fitToHeight="0" fitToWidth="1" horizontalDpi="600" verticalDpi="600" orientation="portrait" paperSize="9"/>
  <headerFooter>
    <oddFooter>&amp;R&amp;P 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3.421875" style="0" customWidth="1"/>
    <col min="2" max="2" width="36.28125" style="0" customWidth="1"/>
    <col min="3" max="3" width="14.28125" style="0" customWidth="1"/>
    <col min="4" max="4" width="36.8515625" style="0" customWidth="1"/>
    <col min="5" max="10" width="9.00390625" style="0" customWidth="1"/>
    <col min="11" max="11" width="10.8515625" style="0" customWidth="1"/>
    <col min="12" max="12" width="9.00390625" style="0" customWidth="1"/>
    <col min="13" max="26" width="8.7109375" style="0" customWidth="1"/>
  </cols>
  <sheetData>
    <row r="1" spans="1:26" ht="12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6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274" t="s">
        <v>7</v>
      </c>
      <c r="B4" s="275"/>
      <c r="C4" s="276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8" t="s">
        <v>16</v>
      </c>
      <c r="B5" s="18" t="s">
        <v>17</v>
      </c>
      <c r="C5" s="19" t="s">
        <v>24</v>
      </c>
      <c r="D5" s="2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8" t="s">
        <v>25</v>
      </c>
      <c r="B6" s="18" t="s">
        <v>26</v>
      </c>
      <c r="C6" s="21">
        <v>0.2</v>
      </c>
      <c r="D6" s="2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8" t="s">
        <v>28</v>
      </c>
      <c r="B7" s="18" t="s">
        <v>29</v>
      </c>
      <c r="C7" s="21">
        <v>0.015</v>
      </c>
      <c r="D7" s="2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8" t="s">
        <v>30</v>
      </c>
      <c r="B8" s="18" t="s">
        <v>31</v>
      </c>
      <c r="C8" s="21">
        <v>0.01</v>
      </c>
      <c r="D8" s="2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8" t="s">
        <v>32</v>
      </c>
      <c r="B9" s="18" t="s">
        <v>33</v>
      </c>
      <c r="C9" s="21">
        <v>0.002</v>
      </c>
      <c r="D9" s="2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8" t="s">
        <v>34</v>
      </c>
      <c r="B10" s="18" t="s">
        <v>35</v>
      </c>
      <c r="C10" s="21">
        <v>0.006</v>
      </c>
      <c r="D10" s="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8" t="s">
        <v>36</v>
      </c>
      <c r="B11" s="18" t="s">
        <v>37</v>
      </c>
      <c r="C11" s="21">
        <v>0.025</v>
      </c>
      <c r="D11" s="2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8" t="s">
        <v>38</v>
      </c>
      <c r="B12" s="18" t="s">
        <v>39</v>
      </c>
      <c r="C12" s="21">
        <v>0.03</v>
      </c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8" t="s">
        <v>40</v>
      </c>
      <c r="B13" s="18" t="s">
        <v>41</v>
      </c>
      <c r="C13" s="21">
        <v>0.08</v>
      </c>
      <c r="D13" s="2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8" t="s">
        <v>42</v>
      </c>
      <c r="B14" s="25" t="s">
        <v>43</v>
      </c>
      <c r="C14" s="30">
        <f>SUM(C6:C13)</f>
        <v>0.36800000000000005</v>
      </c>
      <c r="D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0"/>
      <c r="B15" s="42"/>
      <c r="C15" s="43"/>
      <c r="D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8" t="s">
        <v>59</v>
      </c>
      <c r="B16" s="18" t="s">
        <v>60</v>
      </c>
      <c r="C16" s="21">
        <f>ROUND(IF('3.CAGED'!C39&gt;24,(1-12/'3.CAGED'!C39)*0.1111,0.1111-C25),4)</f>
        <v>0.0574</v>
      </c>
      <c r="D16" s="2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8" t="s">
        <v>62</v>
      </c>
      <c r="B17" s="18" t="s">
        <v>63</v>
      </c>
      <c r="C17" s="21">
        <f>ROUND('3.CAGED'!C33/'3.CAGED'!C30,4)</f>
        <v>0.0833</v>
      </c>
      <c r="D17" s="2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8" t="s">
        <v>65</v>
      </c>
      <c r="B18" s="18" t="s">
        <v>66</v>
      </c>
      <c r="C18" s="21">
        <v>0.0006</v>
      </c>
      <c r="D18" s="2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8" t="s">
        <v>67</v>
      </c>
      <c r="B19" s="18" t="s">
        <v>68</v>
      </c>
      <c r="C19" s="21">
        <v>0.0082</v>
      </c>
      <c r="D19" s="2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8" t="s">
        <v>69</v>
      </c>
      <c r="B20" s="18" t="s">
        <v>70</v>
      </c>
      <c r="C20" s="21">
        <v>0.0031</v>
      </c>
      <c r="D20" s="2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8" t="s">
        <v>72</v>
      </c>
      <c r="B21" s="18" t="s">
        <v>73</v>
      </c>
      <c r="C21" s="21">
        <v>0.0166</v>
      </c>
      <c r="D21" s="2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8" t="s">
        <v>75</v>
      </c>
      <c r="B22" s="25" t="s">
        <v>76</v>
      </c>
      <c r="C22" s="30">
        <f>SUM(C16:C21)</f>
        <v>0.1692</v>
      </c>
      <c r="D22" s="5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0"/>
      <c r="B23" s="42"/>
      <c r="C23" s="43"/>
      <c r="D23" s="5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8" t="s">
        <v>79</v>
      </c>
      <c r="B24" s="18" t="s">
        <v>80</v>
      </c>
      <c r="C24" s="21">
        <f>ROUND(('3.CAGED'!C38)*'3.CAGED'!C29/'3.CAGED'!C30,4)</f>
        <v>0.039</v>
      </c>
      <c r="D24" s="20"/>
      <c r="E24" s="5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8" t="s">
        <v>81</v>
      </c>
      <c r="B25" s="18" t="s">
        <v>82</v>
      </c>
      <c r="C25" s="21">
        <f>ROUND(IF('3.CAGED'!C39&gt;12,12/'3.CAGED'!C39*0.1111,0.1111),4)</f>
        <v>0.0537</v>
      </c>
      <c r="D25" s="20"/>
      <c r="E25" s="3"/>
      <c r="F25" s="3"/>
      <c r="G25" s="3"/>
      <c r="H25" s="5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8" t="s">
        <v>84</v>
      </c>
      <c r="B26" s="18" t="s">
        <v>85</v>
      </c>
      <c r="C26" s="21">
        <f>ROUND(('3.CAGED'!C32+'3.CAGED'!C31)/360*C24,4)</f>
        <v>0.0043</v>
      </c>
      <c r="D26" s="2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8" t="s">
        <v>87</v>
      </c>
      <c r="B27" s="18" t="s">
        <v>88</v>
      </c>
      <c r="C27" s="21">
        <f>ROUND(('3.CAGED'!C30+'3.CAGED'!C31+'3.CAGED'!C33)/'3.CAGED'!C28*'3.CAGED'!C35*'3.CAGED'!C36*'3.CAGED'!C29/'3.CAGED'!C30,4)</f>
        <v>0.0359</v>
      </c>
      <c r="D27" s="20"/>
      <c r="E27" s="3"/>
      <c r="F27" s="3"/>
      <c r="G27" s="5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8" t="s">
        <v>89</v>
      </c>
      <c r="B28" s="18" t="s">
        <v>90</v>
      </c>
      <c r="C28" s="21">
        <f>ROUND(('3.CAGED'!C32/'3.CAGED'!C30)*'3.CAGED'!C29/12,4)</f>
        <v>0.0027</v>
      </c>
      <c r="D28" s="2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8" t="s">
        <v>91</v>
      </c>
      <c r="B29" s="25" t="s">
        <v>92</v>
      </c>
      <c r="C29" s="30">
        <f>SUM(C24:C28)</f>
        <v>0.13560000000000003</v>
      </c>
      <c r="D29" s="5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0"/>
      <c r="B30" s="42"/>
      <c r="C30" s="43"/>
      <c r="D30" s="5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8" t="s">
        <v>93</v>
      </c>
      <c r="B31" s="18" t="s">
        <v>94</v>
      </c>
      <c r="C31" s="21">
        <f>ROUND(C14*C22,4)</f>
        <v>0.0623</v>
      </c>
      <c r="D31" s="2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8" t="s">
        <v>96</v>
      </c>
      <c r="B32" s="64" t="s">
        <v>97</v>
      </c>
      <c r="C32" s="21">
        <f>ROUND((C24*C14),4)</f>
        <v>0.0144</v>
      </c>
      <c r="D32" s="2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8" t="s">
        <v>100</v>
      </c>
      <c r="B33" s="25" t="s">
        <v>101</v>
      </c>
      <c r="C33" s="30">
        <f>SUM(C31:C32)</f>
        <v>0.0767</v>
      </c>
      <c r="D33" s="5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7"/>
      <c r="B34" s="68" t="s">
        <v>102</v>
      </c>
      <c r="C34" s="70">
        <f>C33+C29+C22+C14</f>
        <v>0.7495</v>
      </c>
      <c r="D34" s="5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0"/>
      <c r="B35" s="71"/>
      <c r="C35" s="72"/>
      <c r="D35" s="7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20"/>
      <c r="B36" s="20"/>
      <c r="C36" s="74"/>
      <c r="D36" s="7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/>
  <mergeCells count="1">
    <mergeCell ref="A4:C4"/>
  </mergeCells>
  <printOptions/>
  <pageMargins left="0.905555555555556" right="0.511805555555555" top="0.747916666666667" bottom="0.747916666666667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8.421875" style="0" customWidth="1"/>
    <col min="2" max="2" width="66.421875" style="0" customWidth="1"/>
    <col min="3" max="3" width="13.421875" style="0" customWidth="1"/>
    <col min="4" max="11" width="8.7109375" style="0" hidden="1" customWidth="1"/>
    <col min="12" max="26" width="8.7109375" style="0" customWidth="1"/>
  </cols>
  <sheetData>
    <row r="1" spans="1:26" ht="12.75" customHeight="1">
      <c r="A1" s="5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5.5" customHeight="1">
      <c r="A5" s="277" t="s">
        <v>6</v>
      </c>
      <c r="B5" s="268"/>
      <c r="C5" s="26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customHeight="1">
      <c r="A7" s="277" t="s">
        <v>11</v>
      </c>
      <c r="B7" s="268"/>
      <c r="C7" s="26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/>
      <c r="B11" s="278" t="s">
        <v>15</v>
      </c>
      <c r="C11" s="27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11" t="s">
        <v>19</v>
      </c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13" t="s">
        <v>20</v>
      </c>
      <c r="C13" s="15">
        <v>2486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17" t="s">
        <v>21</v>
      </c>
      <c r="C14" s="15">
        <v>3303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24" t="s">
        <v>22</v>
      </c>
      <c r="C15" s="26">
        <v>81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24" t="s">
        <v>44</v>
      </c>
      <c r="C16" s="26">
        <v>2336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24" t="s">
        <v>45</v>
      </c>
      <c r="C17" s="26">
        <v>342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24" t="s">
        <v>46</v>
      </c>
      <c r="C18" s="26">
        <v>18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24" t="s">
        <v>48</v>
      </c>
      <c r="C19" s="26">
        <v>500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24" t="s">
        <v>49</v>
      </c>
      <c r="C20" s="26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24" t="s">
        <v>51</v>
      </c>
      <c r="C21" s="26">
        <v>25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1" t="s">
        <v>52</v>
      </c>
      <c r="C22" s="32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 t="s">
        <v>53</v>
      </c>
      <c r="B23" s="11" t="s">
        <v>54</v>
      </c>
      <c r="C23" s="1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4" t="s">
        <v>55</v>
      </c>
      <c r="C24" s="36">
        <v>6400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24" t="s">
        <v>56</v>
      </c>
      <c r="C25" s="26">
        <v>5583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24" t="s">
        <v>57</v>
      </c>
      <c r="C26" s="26">
        <v>-817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8"/>
      <c r="C27" s="3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41" t="s">
        <v>58</v>
      </c>
      <c r="C28" s="46">
        <f>MEDIAN(C13,C14)/MEDIAN(C24,C25)</f>
        <v>0.4831010598347659</v>
      </c>
      <c r="D28" s="3"/>
      <c r="E28" s="3"/>
      <c r="F28" s="3"/>
      <c r="G28" s="3">
        <f>12/C28</f>
        <v>24.839523233719124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13" t="s">
        <v>61</v>
      </c>
      <c r="C29" s="46">
        <f>C16/MEDIAN(C24,C25)</f>
        <v>0.389885671367771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48" t="s">
        <v>64</v>
      </c>
      <c r="C30" s="50">
        <v>360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13" t="s">
        <v>71</v>
      </c>
      <c r="C31" s="50">
        <v>10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13" t="s">
        <v>74</v>
      </c>
      <c r="C32" s="50">
        <v>30</v>
      </c>
      <c r="D32" s="3"/>
      <c r="E32" s="3"/>
      <c r="F32" s="3"/>
      <c r="G32" s="3">
        <f>TRUNC(G37)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13" t="s">
        <v>77</v>
      </c>
      <c r="C33" s="50">
        <v>30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5"/>
      <c r="B34" s="13" t="s">
        <v>78</v>
      </c>
      <c r="C34" s="54">
        <f>MEDIAN(C24,C25)</f>
        <v>5991.5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13" t="s">
        <v>41</v>
      </c>
      <c r="C35" s="55">
        <v>0.08</v>
      </c>
      <c r="D35" s="5"/>
      <c r="E35" s="5"/>
      <c r="F35" s="5"/>
      <c r="G35" s="5"/>
      <c r="H35" s="5"/>
      <c r="I35" s="5"/>
      <c r="J35" s="5"/>
      <c r="K35" s="57">
        <f>IF(C39&gt;12,C39-12,C39)</f>
        <v>12.839523233719124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5"/>
      <c r="B36" s="13" t="s">
        <v>83</v>
      </c>
      <c r="C36" s="55">
        <v>0.5</v>
      </c>
      <c r="D36" s="5"/>
      <c r="E36" s="5"/>
      <c r="F36" s="5"/>
      <c r="G36" s="5"/>
      <c r="H36" s="5"/>
      <c r="I36" s="5"/>
      <c r="J36" s="5"/>
      <c r="K36" s="5" t="e">
        <f>IF(#REF!&gt;12,#REF!-12,#REF!)</f>
        <v>#REF!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5"/>
      <c r="B37" s="13" t="s">
        <v>86</v>
      </c>
      <c r="C37" s="60">
        <f>((1/C28)-TRUNC(E37))</f>
        <v>0.0699602694765935</v>
      </c>
      <c r="D37" s="5">
        <f>TRUNC(E37)</f>
        <v>2</v>
      </c>
      <c r="E37" s="5">
        <f>1/C28</f>
        <v>2.0699602694765935</v>
      </c>
      <c r="F37" s="5">
        <f>((1/C28)-TRUNC(E37))</f>
        <v>0.0699602694765935</v>
      </c>
      <c r="G37" s="5">
        <f>12*F37</f>
        <v>0.8395232337191221</v>
      </c>
      <c r="H37" s="3"/>
      <c r="I37" s="3"/>
      <c r="J37" s="3"/>
      <c r="K37" s="5" t="e">
        <f>IF(#REF!&gt;12,#REF!-12,#REF!)</f>
        <v>#REF!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5"/>
      <c r="B38" s="11" t="s">
        <v>95</v>
      </c>
      <c r="C38" s="15">
        <f>30+D38</f>
        <v>36</v>
      </c>
      <c r="D38" s="5">
        <f>3*D37</f>
        <v>6</v>
      </c>
      <c r="E38" s="3"/>
      <c r="F38" s="3"/>
      <c r="G38" s="5">
        <f>G37/12*40/360</f>
        <v>0.007773363275177057</v>
      </c>
      <c r="H38" s="3"/>
      <c r="I38" s="3"/>
      <c r="J38" s="3"/>
      <c r="K38" s="5" t="e">
        <f>IF(#REF!&gt;12,#REF!-12,#REF!)</f>
        <v>#REF!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5"/>
      <c r="B39" s="65" t="s">
        <v>98</v>
      </c>
      <c r="C39" s="66">
        <f>12/C28</f>
        <v>24.839523233719124</v>
      </c>
      <c r="D39" s="3"/>
      <c r="E39" s="3"/>
      <c r="F39" s="3"/>
      <c r="G39" s="3"/>
      <c r="H39" s="3"/>
      <c r="I39" s="3"/>
      <c r="J39" s="3"/>
      <c r="K39" s="5" t="e">
        <f>IF(#REF!&gt;12,#REF!-12,#REF!)</f>
        <v>#REF!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 t="e">
        <f>IF(K39&gt;12,K39-12,K39)</f>
        <v>#REF!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 t="e">
        <f>IF(K40&gt;12,K40-12,K40)</f>
        <v>#REF!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/>
  <mergeCells count="3">
    <mergeCell ref="A5:C5"/>
    <mergeCell ref="A7:C7"/>
    <mergeCell ref="B11:C11"/>
  </mergeCells>
  <printOptions/>
  <pageMargins left="0.905555555555556" right="0.511805555555555" top="0.747916666666667" bottom="0.747916666666667" header="0" footer="0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1.28125" style="0" customWidth="1"/>
    <col min="2" max="2" width="5.421875" style="0" customWidth="1"/>
    <col min="3" max="3" width="8.57421875" style="0" customWidth="1"/>
    <col min="4" max="4" width="9.57421875" style="0" customWidth="1"/>
    <col min="5" max="5" width="7.8515625" style="0" customWidth="1"/>
    <col min="6" max="6" width="9.57421875" style="0" customWidth="1"/>
    <col min="7" max="8" width="8.57421875" style="0" customWidth="1"/>
    <col min="9" max="26" width="8.7109375" style="0" customWidth="1"/>
  </cols>
  <sheetData>
    <row r="1" spans="1:26" ht="12.75" customHeight="1">
      <c r="A1" s="1" t="s">
        <v>0</v>
      </c>
      <c r="B1" s="10"/>
      <c r="C1" s="10"/>
      <c r="D1" s="149"/>
      <c r="E1" s="151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12.75" customHeight="1">
      <c r="A2" s="6" t="s">
        <v>179</v>
      </c>
      <c r="B2" s="10"/>
      <c r="C2" s="10"/>
      <c r="D2" s="149"/>
      <c r="E2" s="15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12.75" customHeight="1">
      <c r="A3" s="2" t="s">
        <v>8</v>
      </c>
      <c r="B3" s="10"/>
      <c r="C3" s="10"/>
      <c r="D3" s="149"/>
      <c r="E3" s="15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ht="12.75" customHeight="1">
      <c r="A4" s="6"/>
      <c r="B4" s="10"/>
      <c r="C4" s="10"/>
      <c r="D4" s="149"/>
      <c r="E4" s="151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2:26" ht="12.75" customHeight="1">
      <c r="B5" s="10"/>
      <c r="C5" s="10"/>
      <c r="D5" s="149"/>
      <c r="E5" s="151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1:6" ht="12.75" customHeight="1">
      <c r="A6" s="279" t="s">
        <v>180</v>
      </c>
      <c r="B6" s="257"/>
      <c r="C6" s="257"/>
      <c r="D6" s="257"/>
      <c r="E6" s="257"/>
      <c r="F6" s="258"/>
    </row>
    <row r="7" spans="1:6" ht="12.75" customHeight="1">
      <c r="A7" s="155"/>
      <c r="B7" s="156"/>
      <c r="C7" s="156"/>
      <c r="D7" s="156"/>
      <c r="E7" s="156"/>
      <c r="F7" s="157"/>
    </row>
    <row r="8" spans="1:8" ht="12.75" customHeight="1">
      <c r="A8" s="158"/>
      <c r="B8" s="10"/>
      <c r="C8" s="10"/>
      <c r="D8" s="280" t="s">
        <v>183</v>
      </c>
      <c r="E8" s="275"/>
      <c r="F8" s="276"/>
      <c r="G8" s="149"/>
      <c r="H8" s="149"/>
    </row>
    <row r="9" spans="1:8" ht="12.75" customHeight="1">
      <c r="A9" s="38"/>
      <c r="B9" s="149"/>
      <c r="C9" s="149"/>
      <c r="D9" s="160" t="s">
        <v>186</v>
      </c>
      <c r="E9" s="161" t="s">
        <v>187</v>
      </c>
      <c r="F9" s="162" t="s">
        <v>190</v>
      </c>
      <c r="G9" s="149"/>
      <c r="H9" s="149"/>
    </row>
    <row r="10" spans="1:8" ht="12.75" customHeight="1">
      <c r="A10" s="165" t="s">
        <v>192</v>
      </c>
      <c r="B10" s="167" t="s">
        <v>193</v>
      </c>
      <c r="C10" s="169">
        <v>0.0508</v>
      </c>
      <c r="D10" s="170">
        <v>0.0297</v>
      </c>
      <c r="E10" s="171">
        <v>0.0508</v>
      </c>
      <c r="F10" s="172">
        <v>0.0627</v>
      </c>
      <c r="G10" s="149"/>
      <c r="H10" s="149"/>
    </row>
    <row r="11" spans="1:8" ht="12.75" customHeight="1">
      <c r="A11" s="173" t="s">
        <v>195</v>
      </c>
      <c r="B11" s="176" t="s">
        <v>197</v>
      </c>
      <c r="C11" s="179">
        <v>0.0133</v>
      </c>
      <c r="D11" s="170">
        <f>0.003+0.0056</f>
        <v>0.0086</v>
      </c>
      <c r="E11" s="171">
        <f>0.0048+0.0085</f>
        <v>0.0133</v>
      </c>
      <c r="F11" s="172">
        <f>0.0082+0.0089</f>
        <v>0.0171</v>
      </c>
      <c r="G11" s="149"/>
      <c r="H11" s="149"/>
    </row>
    <row r="12" spans="1:8" ht="12.75" customHeight="1">
      <c r="A12" s="173" t="s">
        <v>203</v>
      </c>
      <c r="B12" s="176" t="s">
        <v>204</v>
      </c>
      <c r="C12" s="179">
        <v>0.1085</v>
      </c>
      <c r="D12" s="170">
        <v>0.0778</v>
      </c>
      <c r="E12" s="171">
        <v>0.1085</v>
      </c>
      <c r="F12" s="172">
        <v>0.1355</v>
      </c>
      <c r="G12" s="149"/>
      <c r="H12" s="149"/>
    </row>
    <row r="13" spans="1:8" ht="12.75" customHeight="1">
      <c r="A13" s="173" t="s">
        <v>206</v>
      </c>
      <c r="B13" s="176" t="s">
        <v>207</v>
      </c>
      <c r="C13" s="179">
        <f>(1+E13)^(E14/252)-1</f>
        <v>0.0020011997060440656</v>
      </c>
      <c r="D13" s="170" t="s">
        <v>211</v>
      </c>
      <c r="E13" s="183">
        <v>0.065</v>
      </c>
      <c r="F13" s="184"/>
      <c r="G13" s="149"/>
      <c r="H13" s="149"/>
    </row>
    <row r="14" spans="1:8" ht="12.75" customHeight="1">
      <c r="A14" s="173" t="s">
        <v>214</v>
      </c>
      <c r="B14" s="281" t="s">
        <v>215</v>
      </c>
      <c r="C14" s="179">
        <v>0.035</v>
      </c>
      <c r="D14" s="185" t="s">
        <v>217</v>
      </c>
      <c r="E14" s="186">
        <v>8</v>
      </c>
      <c r="F14" s="26"/>
      <c r="G14" s="149"/>
      <c r="H14" s="149"/>
    </row>
    <row r="15" spans="1:8" ht="12.75" customHeight="1">
      <c r="A15" s="187" t="s">
        <v>219</v>
      </c>
      <c r="B15" s="282"/>
      <c r="C15" s="188">
        <v>0.0365</v>
      </c>
      <c r="D15" s="24"/>
      <c r="E15" s="189"/>
      <c r="F15" s="26"/>
      <c r="G15" s="149"/>
      <c r="H15" s="149"/>
    </row>
    <row r="16" spans="1:8" ht="12.75" customHeight="1">
      <c r="A16" s="190" t="s">
        <v>222</v>
      </c>
      <c r="B16" s="191"/>
      <c r="C16" s="193"/>
      <c r="D16" s="24"/>
      <c r="E16" s="189"/>
      <c r="F16" s="26"/>
      <c r="G16" s="149"/>
      <c r="H16" s="149"/>
    </row>
    <row r="17" spans="1:8" ht="12.75" customHeight="1">
      <c r="A17" s="194" t="s">
        <v>223</v>
      </c>
      <c r="B17" s="195"/>
      <c r="C17" s="196"/>
      <c r="D17" s="24"/>
      <c r="E17" s="189"/>
      <c r="F17" s="26"/>
      <c r="G17" s="149"/>
      <c r="H17" s="149"/>
    </row>
    <row r="18" spans="1:8" ht="12.75" customHeight="1">
      <c r="A18" s="197" t="s">
        <v>224</v>
      </c>
      <c r="B18" s="200"/>
      <c r="C18" s="202">
        <f>ROUND((((1+C10+C11)*(1+C12)*(1+C13))/(1-(C14+C15))-1),4)</f>
        <v>0.2729</v>
      </c>
      <c r="D18" s="203">
        <v>0.2143</v>
      </c>
      <c r="E18" s="204">
        <v>0.2717</v>
      </c>
      <c r="F18" s="205">
        <v>0.3362</v>
      </c>
      <c r="G18" s="149"/>
      <c r="H18" s="149"/>
    </row>
    <row r="19" ht="12.75" customHeight="1">
      <c r="E19" s="206"/>
    </row>
    <row r="20" ht="12.75" customHeight="1">
      <c r="E20" s="206"/>
    </row>
    <row r="21" ht="12.75" customHeight="1">
      <c r="E21" s="206"/>
    </row>
    <row r="22" ht="12.75" customHeight="1">
      <c r="E22" s="206"/>
    </row>
    <row r="23" ht="12.75" customHeight="1">
      <c r="E23" s="206"/>
    </row>
    <row r="24" ht="12.75" customHeight="1">
      <c r="E24" s="206"/>
    </row>
    <row r="25" ht="12.75" customHeight="1">
      <c r="E25" s="206"/>
    </row>
    <row r="26" ht="12.75" customHeight="1">
      <c r="E26" s="206"/>
    </row>
    <row r="27" ht="12.75" customHeight="1">
      <c r="E27" s="206"/>
    </row>
    <row r="28" ht="12.75" customHeight="1">
      <c r="E28" s="206"/>
    </row>
    <row r="29" ht="12.75" customHeight="1">
      <c r="E29" s="206"/>
    </row>
    <row r="30" ht="12.75" customHeight="1">
      <c r="E30" s="206"/>
    </row>
    <row r="31" ht="12.75" customHeight="1">
      <c r="E31" s="206"/>
    </row>
    <row r="32" ht="12.75" customHeight="1">
      <c r="E32" s="206"/>
    </row>
    <row r="33" ht="12.75" customHeight="1">
      <c r="E33" s="206"/>
    </row>
    <row r="34" ht="12.75" customHeight="1">
      <c r="E34" s="206"/>
    </row>
    <row r="35" ht="12.75" customHeight="1">
      <c r="E35" s="206"/>
    </row>
    <row r="36" ht="12.75" customHeight="1">
      <c r="E36" s="206"/>
    </row>
    <row r="37" ht="12.75" customHeight="1">
      <c r="E37" s="206"/>
    </row>
    <row r="38" ht="12.75" customHeight="1">
      <c r="E38" s="206"/>
    </row>
    <row r="39" ht="12.75" customHeight="1">
      <c r="E39" s="206"/>
    </row>
    <row r="40" ht="12.75" customHeight="1">
      <c r="E40" s="206"/>
    </row>
    <row r="41" ht="12.75" customHeight="1">
      <c r="E41" s="206"/>
    </row>
    <row r="42" ht="12.75" customHeight="1">
      <c r="E42" s="206"/>
    </row>
    <row r="43" ht="12.75" customHeight="1">
      <c r="E43" s="206"/>
    </row>
    <row r="44" ht="12.75" customHeight="1">
      <c r="E44" s="206"/>
    </row>
    <row r="45" ht="12.75" customHeight="1">
      <c r="E45" s="206"/>
    </row>
    <row r="46" ht="12.75" customHeight="1">
      <c r="E46" s="206"/>
    </row>
    <row r="47" ht="12.75" customHeight="1">
      <c r="E47" s="206"/>
    </row>
    <row r="48" ht="12.75" customHeight="1">
      <c r="E48" s="206"/>
    </row>
    <row r="49" ht="12.75" customHeight="1">
      <c r="E49" s="206"/>
    </row>
    <row r="50" ht="12.75" customHeight="1">
      <c r="E50" s="206"/>
    </row>
    <row r="51" ht="12.75" customHeight="1">
      <c r="E51" s="206"/>
    </row>
    <row r="52" ht="12.75" customHeight="1">
      <c r="E52" s="206"/>
    </row>
    <row r="53" ht="12.75" customHeight="1">
      <c r="E53" s="206"/>
    </row>
    <row r="54" ht="12.75" customHeight="1">
      <c r="E54" s="206"/>
    </row>
    <row r="55" ht="12.75" customHeight="1">
      <c r="E55" s="206"/>
    </row>
    <row r="56" ht="12.75" customHeight="1">
      <c r="E56" s="206"/>
    </row>
    <row r="57" ht="12.75" customHeight="1">
      <c r="E57" s="206"/>
    </row>
    <row r="58" ht="12.75" customHeight="1">
      <c r="E58" s="206"/>
    </row>
    <row r="59" ht="12.75" customHeight="1">
      <c r="E59" s="206"/>
    </row>
    <row r="60" ht="12.75" customHeight="1">
      <c r="E60" s="206"/>
    </row>
    <row r="61" ht="12.75" customHeight="1">
      <c r="E61" s="206"/>
    </row>
    <row r="62" ht="12.75" customHeight="1">
      <c r="E62" s="206"/>
    </row>
    <row r="63" ht="12.75" customHeight="1">
      <c r="E63" s="206"/>
    </row>
    <row r="64" ht="12.75" customHeight="1">
      <c r="E64" s="206"/>
    </row>
    <row r="65" ht="12.75" customHeight="1">
      <c r="E65" s="206"/>
    </row>
    <row r="66" ht="12.75" customHeight="1">
      <c r="E66" s="206"/>
    </row>
    <row r="67" ht="12.75" customHeight="1">
      <c r="E67" s="206"/>
    </row>
    <row r="68" ht="12.75" customHeight="1">
      <c r="E68" s="206"/>
    </row>
    <row r="69" ht="12.75" customHeight="1">
      <c r="E69" s="206"/>
    </row>
    <row r="70" ht="12.75" customHeight="1">
      <c r="E70" s="206"/>
    </row>
    <row r="71" ht="12.75" customHeight="1">
      <c r="E71" s="206"/>
    </row>
    <row r="72" ht="12.75" customHeight="1">
      <c r="E72" s="206"/>
    </row>
    <row r="73" ht="12.75" customHeight="1">
      <c r="E73" s="206"/>
    </row>
    <row r="74" ht="12.75" customHeight="1">
      <c r="E74" s="206"/>
    </row>
    <row r="75" ht="12.75" customHeight="1">
      <c r="E75" s="206"/>
    </row>
    <row r="76" ht="12.75" customHeight="1">
      <c r="E76" s="206"/>
    </row>
    <row r="77" ht="12.75" customHeight="1">
      <c r="E77" s="206"/>
    </row>
    <row r="78" ht="12.75" customHeight="1">
      <c r="E78" s="206"/>
    </row>
    <row r="79" ht="12.75" customHeight="1">
      <c r="E79" s="206"/>
    </row>
    <row r="80" ht="12.75" customHeight="1">
      <c r="E80" s="206"/>
    </row>
    <row r="81" ht="12.75" customHeight="1">
      <c r="E81" s="206"/>
    </row>
    <row r="82" ht="12.75" customHeight="1">
      <c r="E82" s="206"/>
    </row>
    <row r="83" ht="12.75" customHeight="1">
      <c r="E83" s="206"/>
    </row>
    <row r="84" ht="12.75" customHeight="1">
      <c r="E84" s="206"/>
    </row>
    <row r="85" ht="12.75" customHeight="1">
      <c r="E85" s="206"/>
    </row>
    <row r="86" ht="12.75" customHeight="1">
      <c r="E86" s="206"/>
    </row>
    <row r="87" ht="12.75" customHeight="1">
      <c r="E87" s="206"/>
    </row>
    <row r="88" ht="12.75" customHeight="1">
      <c r="E88" s="206"/>
    </row>
    <row r="89" ht="12.75" customHeight="1">
      <c r="E89" s="206"/>
    </row>
    <row r="90" ht="12.75" customHeight="1">
      <c r="E90" s="206"/>
    </row>
    <row r="91" ht="12.75" customHeight="1">
      <c r="E91" s="206"/>
    </row>
    <row r="92" ht="12.75" customHeight="1">
      <c r="E92" s="206"/>
    </row>
    <row r="93" ht="12.75" customHeight="1">
      <c r="E93" s="206"/>
    </row>
    <row r="94" ht="12.75" customHeight="1">
      <c r="E94" s="206"/>
    </row>
    <row r="95" ht="12.75" customHeight="1">
      <c r="E95" s="206"/>
    </row>
    <row r="96" ht="12.75" customHeight="1">
      <c r="E96" s="206"/>
    </row>
    <row r="97" ht="12.75" customHeight="1">
      <c r="E97" s="206"/>
    </row>
    <row r="98" ht="12.75" customHeight="1">
      <c r="E98" s="206"/>
    </row>
    <row r="99" ht="12.75" customHeight="1">
      <c r="E99" s="206"/>
    </row>
    <row r="100" ht="12.75" customHeight="1">
      <c r="E100" s="206"/>
    </row>
    <row r="101" ht="12.75" customHeight="1">
      <c r="E101" s="206"/>
    </row>
    <row r="102" ht="12.75" customHeight="1">
      <c r="E102" s="206"/>
    </row>
    <row r="103" ht="12.75" customHeight="1">
      <c r="E103" s="206"/>
    </row>
    <row r="104" ht="12.75" customHeight="1">
      <c r="E104" s="206"/>
    </row>
    <row r="105" ht="12.75" customHeight="1">
      <c r="E105" s="206"/>
    </row>
    <row r="106" ht="12.75" customHeight="1">
      <c r="E106" s="206"/>
    </row>
    <row r="107" ht="12.75" customHeight="1">
      <c r="E107" s="206"/>
    </row>
    <row r="108" ht="12.75" customHeight="1">
      <c r="E108" s="206"/>
    </row>
    <row r="109" ht="12.75" customHeight="1">
      <c r="E109" s="206"/>
    </row>
    <row r="110" ht="12.75" customHeight="1">
      <c r="E110" s="206"/>
    </row>
    <row r="111" ht="12.75" customHeight="1">
      <c r="E111" s="206"/>
    </row>
    <row r="112" ht="12.75" customHeight="1">
      <c r="E112" s="206"/>
    </row>
    <row r="113" ht="12.75" customHeight="1">
      <c r="E113" s="206"/>
    </row>
    <row r="114" ht="12.75" customHeight="1">
      <c r="E114" s="206"/>
    </row>
    <row r="115" ht="12.75" customHeight="1">
      <c r="E115" s="206"/>
    </row>
    <row r="116" ht="12.75" customHeight="1">
      <c r="E116" s="206"/>
    </row>
    <row r="117" ht="12.75" customHeight="1">
      <c r="E117" s="206"/>
    </row>
    <row r="118" ht="12.75" customHeight="1">
      <c r="E118" s="206"/>
    </row>
    <row r="119" ht="12.75" customHeight="1">
      <c r="E119" s="206"/>
    </row>
    <row r="120" ht="12.75" customHeight="1">
      <c r="E120" s="206"/>
    </row>
    <row r="121" ht="12.75" customHeight="1">
      <c r="E121" s="206"/>
    </row>
    <row r="122" ht="12.75" customHeight="1">
      <c r="E122" s="206"/>
    </row>
    <row r="123" ht="12.75" customHeight="1">
      <c r="E123" s="206"/>
    </row>
    <row r="124" ht="12.75" customHeight="1">
      <c r="E124" s="206"/>
    </row>
    <row r="125" ht="12.75" customHeight="1">
      <c r="E125" s="206"/>
    </row>
    <row r="126" ht="12.75" customHeight="1">
      <c r="E126" s="206"/>
    </row>
    <row r="127" ht="12.75" customHeight="1">
      <c r="E127" s="206"/>
    </row>
    <row r="128" ht="12.75" customHeight="1">
      <c r="E128" s="206"/>
    </row>
    <row r="129" ht="12.75" customHeight="1">
      <c r="E129" s="206"/>
    </row>
    <row r="130" ht="12.75" customHeight="1">
      <c r="E130" s="206"/>
    </row>
    <row r="131" ht="12.75" customHeight="1">
      <c r="E131" s="206"/>
    </row>
    <row r="132" ht="12.75" customHeight="1">
      <c r="E132" s="206"/>
    </row>
    <row r="133" ht="12.75" customHeight="1">
      <c r="E133" s="206"/>
    </row>
    <row r="134" ht="12.75" customHeight="1">
      <c r="E134" s="206"/>
    </row>
    <row r="135" ht="12.75" customHeight="1">
      <c r="E135" s="206"/>
    </row>
    <row r="136" ht="12.75" customHeight="1">
      <c r="E136" s="206"/>
    </row>
    <row r="137" ht="12.75" customHeight="1">
      <c r="E137" s="206"/>
    </row>
    <row r="138" ht="12.75" customHeight="1">
      <c r="E138" s="206"/>
    </row>
    <row r="139" ht="12.75" customHeight="1">
      <c r="E139" s="206"/>
    </row>
    <row r="140" ht="12.75" customHeight="1">
      <c r="E140" s="206"/>
    </row>
    <row r="141" ht="12.75" customHeight="1">
      <c r="E141" s="206"/>
    </row>
    <row r="142" ht="12.75" customHeight="1">
      <c r="E142" s="206"/>
    </row>
    <row r="143" ht="12.75" customHeight="1">
      <c r="E143" s="206"/>
    </row>
    <row r="144" ht="12.75" customHeight="1">
      <c r="E144" s="206"/>
    </row>
    <row r="145" ht="12.75" customHeight="1">
      <c r="E145" s="206"/>
    </row>
    <row r="146" ht="12.75" customHeight="1">
      <c r="E146" s="206"/>
    </row>
    <row r="147" ht="12.75" customHeight="1">
      <c r="E147" s="206"/>
    </row>
    <row r="148" ht="12.75" customHeight="1">
      <c r="E148" s="206"/>
    </row>
    <row r="149" ht="12.75" customHeight="1">
      <c r="E149" s="206"/>
    </row>
    <row r="150" ht="12.75" customHeight="1">
      <c r="E150" s="206"/>
    </row>
    <row r="151" ht="12.75" customHeight="1">
      <c r="E151" s="206"/>
    </row>
    <row r="152" ht="12.75" customHeight="1">
      <c r="E152" s="206"/>
    </row>
    <row r="153" ht="12.75" customHeight="1">
      <c r="E153" s="206"/>
    </row>
    <row r="154" ht="12.75" customHeight="1">
      <c r="E154" s="206"/>
    </row>
    <row r="155" ht="12.75" customHeight="1">
      <c r="E155" s="206"/>
    </row>
    <row r="156" ht="12.75" customHeight="1">
      <c r="E156" s="206"/>
    </row>
    <row r="157" ht="12.75" customHeight="1">
      <c r="E157" s="206"/>
    </row>
    <row r="158" ht="12.75" customHeight="1">
      <c r="E158" s="206"/>
    </row>
    <row r="159" ht="12.75" customHeight="1">
      <c r="E159" s="206"/>
    </row>
    <row r="160" ht="12.75" customHeight="1">
      <c r="E160" s="206"/>
    </row>
    <row r="161" ht="12.75" customHeight="1">
      <c r="E161" s="206"/>
    </row>
    <row r="162" ht="12.75" customHeight="1">
      <c r="E162" s="206"/>
    </row>
    <row r="163" ht="12.75" customHeight="1">
      <c r="E163" s="206"/>
    </row>
    <row r="164" ht="12.75" customHeight="1">
      <c r="E164" s="206"/>
    </row>
    <row r="165" ht="12.75" customHeight="1">
      <c r="E165" s="206"/>
    </row>
    <row r="166" ht="12.75" customHeight="1">
      <c r="E166" s="206"/>
    </row>
    <row r="167" ht="12.75" customHeight="1">
      <c r="E167" s="206"/>
    </row>
    <row r="168" ht="12.75" customHeight="1">
      <c r="E168" s="206"/>
    </row>
    <row r="169" ht="12.75" customHeight="1">
      <c r="E169" s="206"/>
    </row>
    <row r="170" ht="12.75" customHeight="1">
      <c r="E170" s="206"/>
    </row>
    <row r="171" ht="12.75" customHeight="1">
      <c r="E171" s="206"/>
    </row>
    <row r="172" ht="12.75" customHeight="1">
      <c r="E172" s="206"/>
    </row>
    <row r="173" ht="12.75" customHeight="1">
      <c r="E173" s="206"/>
    </row>
    <row r="174" ht="12.75" customHeight="1">
      <c r="E174" s="206"/>
    </row>
    <row r="175" ht="12.75" customHeight="1">
      <c r="E175" s="206"/>
    </row>
    <row r="176" ht="12.75" customHeight="1">
      <c r="E176" s="206"/>
    </row>
    <row r="177" ht="12.75" customHeight="1">
      <c r="E177" s="206"/>
    </row>
    <row r="178" ht="12.75" customHeight="1">
      <c r="E178" s="206"/>
    </row>
    <row r="179" ht="12.75" customHeight="1">
      <c r="E179" s="206"/>
    </row>
    <row r="180" ht="12.75" customHeight="1">
      <c r="E180" s="206"/>
    </row>
    <row r="181" ht="12.75" customHeight="1">
      <c r="E181" s="206"/>
    </row>
    <row r="182" ht="12.75" customHeight="1">
      <c r="E182" s="206"/>
    </row>
    <row r="183" ht="12.75" customHeight="1">
      <c r="E183" s="206"/>
    </row>
    <row r="184" ht="12.75" customHeight="1">
      <c r="E184" s="206"/>
    </row>
    <row r="185" ht="12.75" customHeight="1">
      <c r="E185" s="206"/>
    </row>
    <row r="186" ht="12.75" customHeight="1">
      <c r="E186" s="206"/>
    </row>
    <row r="187" ht="12.75" customHeight="1">
      <c r="E187" s="206"/>
    </row>
    <row r="188" ht="12.75" customHeight="1">
      <c r="E188" s="206"/>
    </row>
    <row r="189" ht="12.75" customHeight="1">
      <c r="E189" s="206"/>
    </row>
    <row r="190" ht="12.75" customHeight="1">
      <c r="E190" s="206"/>
    </row>
    <row r="191" ht="12.75" customHeight="1">
      <c r="E191" s="206"/>
    </row>
    <row r="192" ht="12.75" customHeight="1">
      <c r="E192" s="206"/>
    </row>
    <row r="193" ht="12.75" customHeight="1">
      <c r="E193" s="206"/>
    </row>
    <row r="194" ht="12.75" customHeight="1">
      <c r="E194" s="206"/>
    </row>
    <row r="195" ht="12.75" customHeight="1">
      <c r="E195" s="206"/>
    </row>
    <row r="196" ht="12.75" customHeight="1">
      <c r="E196" s="206"/>
    </row>
    <row r="197" ht="12.75" customHeight="1">
      <c r="E197" s="206"/>
    </row>
    <row r="198" ht="12.75" customHeight="1">
      <c r="E198" s="206"/>
    </row>
    <row r="199" ht="12.75" customHeight="1">
      <c r="E199" s="206"/>
    </row>
    <row r="200" ht="12.75" customHeight="1">
      <c r="E200" s="206"/>
    </row>
    <row r="201" ht="12.75" customHeight="1">
      <c r="E201" s="206"/>
    </row>
    <row r="202" ht="12.75" customHeight="1">
      <c r="E202" s="206"/>
    </row>
    <row r="203" ht="12.75" customHeight="1">
      <c r="E203" s="206"/>
    </row>
    <row r="204" ht="12.75" customHeight="1">
      <c r="E204" s="206"/>
    </row>
    <row r="205" ht="12.75" customHeight="1">
      <c r="E205" s="206"/>
    </row>
    <row r="206" ht="12.75" customHeight="1">
      <c r="E206" s="206"/>
    </row>
    <row r="207" ht="12.75" customHeight="1">
      <c r="E207" s="206"/>
    </row>
    <row r="208" ht="12.75" customHeight="1">
      <c r="E208" s="206"/>
    </row>
    <row r="209" ht="12.75" customHeight="1">
      <c r="E209" s="206"/>
    </row>
    <row r="210" ht="12.75" customHeight="1">
      <c r="E210" s="206"/>
    </row>
    <row r="211" ht="12.75" customHeight="1">
      <c r="E211" s="206"/>
    </row>
    <row r="212" ht="12.75" customHeight="1">
      <c r="E212" s="206"/>
    </row>
    <row r="213" ht="12.75" customHeight="1">
      <c r="E213" s="206"/>
    </row>
    <row r="214" ht="12.75" customHeight="1">
      <c r="E214" s="206"/>
    </row>
    <row r="215" ht="12.75" customHeight="1">
      <c r="E215" s="206"/>
    </row>
    <row r="216" ht="12.75" customHeight="1">
      <c r="E216" s="206"/>
    </row>
    <row r="217" ht="12.75" customHeight="1">
      <c r="E217" s="206"/>
    </row>
    <row r="218" ht="12.75" customHeight="1">
      <c r="E218" s="206"/>
    </row>
    <row r="219" ht="12.75" customHeight="1">
      <c r="E219" s="206"/>
    </row>
    <row r="220" ht="12.75" customHeight="1">
      <c r="E220" s="206"/>
    </row>
    <row r="221" ht="12.75" customHeight="1">
      <c r="E221" s="206"/>
    </row>
    <row r="222" ht="12.75" customHeight="1">
      <c r="E222" s="206"/>
    </row>
    <row r="223" ht="12.75" customHeight="1">
      <c r="E223" s="206"/>
    </row>
    <row r="224" ht="12.75" customHeight="1">
      <c r="E224" s="206"/>
    </row>
    <row r="225" ht="12.75" customHeight="1">
      <c r="E225" s="206"/>
    </row>
    <row r="226" ht="12.75" customHeight="1">
      <c r="E226" s="206"/>
    </row>
    <row r="227" ht="12.75" customHeight="1">
      <c r="E227" s="206"/>
    </row>
    <row r="228" ht="12.75" customHeight="1">
      <c r="E228" s="206"/>
    </row>
    <row r="229" ht="12.75" customHeight="1">
      <c r="E229" s="206"/>
    </row>
    <row r="230" ht="12.75" customHeight="1">
      <c r="E230" s="206"/>
    </row>
    <row r="231" ht="12.75" customHeight="1">
      <c r="E231" s="206"/>
    </row>
    <row r="232" ht="12.75" customHeight="1">
      <c r="E232" s="206"/>
    </row>
    <row r="233" ht="12.75" customHeight="1">
      <c r="E233" s="206"/>
    </row>
    <row r="234" ht="12.75" customHeight="1">
      <c r="E234" s="206"/>
    </row>
    <row r="235" ht="12.75" customHeight="1">
      <c r="E235" s="206"/>
    </row>
    <row r="236" ht="12.75" customHeight="1">
      <c r="E236" s="206"/>
    </row>
    <row r="237" ht="12.75" customHeight="1">
      <c r="E237" s="206"/>
    </row>
    <row r="238" ht="12.75" customHeight="1">
      <c r="E238" s="206"/>
    </row>
    <row r="239" ht="12.75" customHeight="1">
      <c r="E239" s="206"/>
    </row>
    <row r="240" ht="12.75" customHeight="1">
      <c r="E240" s="206"/>
    </row>
    <row r="241" ht="12.75" customHeight="1">
      <c r="E241" s="206"/>
    </row>
    <row r="242" ht="12.75" customHeight="1">
      <c r="E242" s="206"/>
    </row>
    <row r="243" ht="12.75" customHeight="1">
      <c r="E243" s="206"/>
    </row>
    <row r="244" ht="12.75" customHeight="1">
      <c r="E244" s="206"/>
    </row>
    <row r="245" ht="12.75" customHeight="1">
      <c r="E245" s="206"/>
    </row>
    <row r="246" ht="12.75" customHeight="1">
      <c r="E246" s="206"/>
    </row>
    <row r="247" ht="12.75" customHeight="1">
      <c r="E247" s="206"/>
    </row>
    <row r="248" ht="12.75" customHeight="1">
      <c r="E248" s="206"/>
    </row>
    <row r="249" ht="12.75" customHeight="1">
      <c r="E249" s="206"/>
    </row>
    <row r="250" ht="12.75" customHeight="1">
      <c r="E250" s="206"/>
    </row>
    <row r="251" ht="12.75" customHeight="1">
      <c r="E251" s="206"/>
    </row>
    <row r="252" ht="12.75" customHeight="1">
      <c r="E252" s="206"/>
    </row>
    <row r="253" ht="12.75" customHeight="1">
      <c r="E253" s="206"/>
    </row>
    <row r="254" ht="12.75" customHeight="1">
      <c r="E254" s="206"/>
    </row>
    <row r="255" ht="12.75" customHeight="1">
      <c r="E255" s="206"/>
    </row>
    <row r="256" ht="12.75" customHeight="1">
      <c r="E256" s="206"/>
    </row>
    <row r="257" ht="12.75" customHeight="1">
      <c r="E257" s="206"/>
    </row>
    <row r="258" ht="12.75" customHeight="1">
      <c r="E258" s="206"/>
    </row>
    <row r="259" ht="12.75" customHeight="1">
      <c r="E259" s="206"/>
    </row>
    <row r="260" ht="12.75" customHeight="1">
      <c r="E260" s="206"/>
    </row>
    <row r="261" ht="12.75" customHeight="1">
      <c r="E261" s="206"/>
    </row>
    <row r="262" ht="12.75" customHeight="1">
      <c r="E262" s="206"/>
    </row>
    <row r="263" ht="12.75" customHeight="1">
      <c r="E263" s="206"/>
    </row>
    <row r="264" ht="12.75" customHeight="1">
      <c r="E264" s="206"/>
    </row>
    <row r="265" ht="12.75" customHeight="1">
      <c r="E265" s="206"/>
    </row>
    <row r="266" ht="12.75" customHeight="1">
      <c r="E266" s="206"/>
    </row>
    <row r="267" ht="12.75" customHeight="1">
      <c r="E267" s="206"/>
    </row>
    <row r="268" ht="12.75" customHeight="1">
      <c r="E268" s="206"/>
    </row>
    <row r="269" ht="12.75" customHeight="1">
      <c r="E269" s="206"/>
    </row>
    <row r="270" ht="12.75" customHeight="1">
      <c r="E270" s="206"/>
    </row>
    <row r="271" ht="12.75" customHeight="1">
      <c r="E271" s="206"/>
    </row>
    <row r="272" ht="12.75" customHeight="1">
      <c r="E272" s="206"/>
    </row>
    <row r="273" ht="12.75" customHeight="1">
      <c r="E273" s="206"/>
    </row>
    <row r="274" ht="12.75" customHeight="1">
      <c r="E274" s="206"/>
    </row>
    <row r="275" ht="12.75" customHeight="1">
      <c r="E275" s="206"/>
    </row>
    <row r="276" ht="12.75" customHeight="1">
      <c r="E276" s="206"/>
    </row>
    <row r="277" ht="12.75" customHeight="1">
      <c r="E277" s="206"/>
    </row>
    <row r="278" ht="12.75" customHeight="1">
      <c r="E278" s="206"/>
    </row>
    <row r="279" ht="12.75" customHeight="1">
      <c r="E279" s="206"/>
    </row>
    <row r="280" ht="12.75" customHeight="1">
      <c r="E280" s="206"/>
    </row>
    <row r="281" ht="12.75" customHeight="1">
      <c r="E281" s="206"/>
    </row>
    <row r="282" ht="12.75" customHeight="1">
      <c r="E282" s="206"/>
    </row>
    <row r="283" ht="12.75" customHeight="1">
      <c r="E283" s="206"/>
    </row>
    <row r="284" ht="12.75" customHeight="1">
      <c r="E284" s="206"/>
    </row>
    <row r="285" ht="12.75" customHeight="1">
      <c r="E285" s="206"/>
    </row>
    <row r="286" ht="12.75" customHeight="1">
      <c r="E286" s="206"/>
    </row>
    <row r="287" ht="12.75" customHeight="1">
      <c r="E287" s="206"/>
    </row>
    <row r="288" ht="12.75" customHeight="1">
      <c r="E288" s="206"/>
    </row>
    <row r="289" ht="12.75" customHeight="1">
      <c r="E289" s="206"/>
    </row>
    <row r="290" ht="12.75" customHeight="1">
      <c r="E290" s="206"/>
    </row>
    <row r="291" ht="12.75" customHeight="1">
      <c r="E291" s="206"/>
    </row>
    <row r="292" ht="12.75" customHeight="1">
      <c r="E292" s="206"/>
    </row>
    <row r="293" ht="12.75" customHeight="1">
      <c r="E293" s="206"/>
    </row>
    <row r="294" ht="12.75" customHeight="1">
      <c r="E294" s="206"/>
    </row>
    <row r="295" ht="12.75" customHeight="1">
      <c r="E295" s="206"/>
    </row>
    <row r="296" ht="12.75" customHeight="1">
      <c r="E296" s="206"/>
    </row>
    <row r="297" ht="12.75" customHeight="1">
      <c r="E297" s="206"/>
    </row>
    <row r="298" ht="12.75" customHeight="1">
      <c r="E298" s="206"/>
    </row>
    <row r="299" ht="12.75" customHeight="1">
      <c r="E299" s="206"/>
    </row>
    <row r="300" ht="12.75" customHeight="1">
      <c r="E300" s="206"/>
    </row>
    <row r="301" ht="12.75" customHeight="1">
      <c r="E301" s="206"/>
    </row>
    <row r="302" ht="12.75" customHeight="1">
      <c r="E302" s="206"/>
    </row>
    <row r="303" ht="12.75" customHeight="1">
      <c r="E303" s="206"/>
    </row>
    <row r="304" ht="12.75" customHeight="1">
      <c r="E304" s="206"/>
    </row>
    <row r="305" ht="12.75" customHeight="1">
      <c r="E305" s="206"/>
    </row>
    <row r="306" ht="12.75" customHeight="1">
      <c r="E306" s="206"/>
    </row>
    <row r="307" ht="12.75" customHeight="1">
      <c r="E307" s="206"/>
    </row>
    <row r="308" ht="12.75" customHeight="1">
      <c r="E308" s="206"/>
    </row>
    <row r="309" ht="12.75" customHeight="1">
      <c r="E309" s="206"/>
    </row>
    <row r="310" ht="12.75" customHeight="1">
      <c r="E310" s="206"/>
    </row>
    <row r="311" ht="12.75" customHeight="1">
      <c r="E311" s="206"/>
    </row>
    <row r="312" ht="12.75" customHeight="1">
      <c r="E312" s="206"/>
    </row>
    <row r="313" ht="12.75" customHeight="1">
      <c r="E313" s="206"/>
    </row>
    <row r="314" ht="12.75" customHeight="1">
      <c r="E314" s="206"/>
    </row>
    <row r="315" ht="12.75" customHeight="1">
      <c r="E315" s="206"/>
    </row>
    <row r="316" ht="12.75" customHeight="1">
      <c r="E316" s="206"/>
    </row>
    <row r="317" ht="12.75" customHeight="1">
      <c r="E317" s="206"/>
    </row>
    <row r="318" ht="12.75" customHeight="1">
      <c r="E318" s="206"/>
    </row>
    <row r="319" ht="12.75" customHeight="1">
      <c r="E319" s="206"/>
    </row>
    <row r="320" ht="12.75" customHeight="1">
      <c r="E320" s="206"/>
    </row>
    <row r="321" ht="12.75" customHeight="1">
      <c r="E321" s="206"/>
    </row>
    <row r="322" ht="12.75" customHeight="1">
      <c r="E322" s="206"/>
    </row>
    <row r="323" ht="12.75" customHeight="1">
      <c r="E323" s="206"/>
    </row>
    <row r="324" ht="12.75" customHeight="1">
      <c r="E324" s="206"/>
    </row>
    <row r="325" ht="12.75" customHeight="1">
      <c r="E325" s="206"/>
    </row>
    <row r="326" ht="12.75" customHeight="1">
      <c r="E326" s="206"/>
    </row>
    <row r="327" ht="12.75" customHeight="1">
      <c r="E327" s="206"/>
    </row>
    <row r="328" ht="12.75" customHeight="1">
      <c r="E328" s="206"/>
    </row>
    <row r="329" ht="12.75" customHeight="1">
      <c r="E329" s="206"/>
    </row>
    <row r="330" ht="12.75" customHeight="1">
      <c r="E330" s="206"/>
    </row>
    <row r="331" ht="12.75" customHeight="1">
      <c r="E331" s="206"/>
    </row>
    <row r="332" ht="12.75" customHeight="1">
      <c r="E332" s="206"/>
    </row>
    <row r="333" ht="12.75" customHeight="1">
      <c r="E333" s="206"/>
    </row>
    <row r="334" ht="12.75" customHeight="1">
      <c r="E334" s="206"/>
    </row>
    <row r="335" ht="12.75" customHeight="1">
      <c r="E335" s="206"/>
    </row>
    <row r="336" ht="12.75" customHeight="1">
      <c r="E336" s="206"/>
    </row>
    <row r="337" ht="12.75" customHeight="1">
      <c r="E337" s="206"/>
    </row>
    <row r="338" ht="12.75" customHeight="1">
      <c r="E338" s="206"/>
    </row>
    <row r="339" ht="12.75" customHeight="1">
      <c r="E339" s="206"/>
    </row>
    <row r="340" ht="12.75" customHeight="1">
      <c r="E340" s="206"/>
    </row>
    <row r="341" ht="12.75" customHeight="1">
      <c r="E341" s="206"/>
    </row>
    <row r="342" ht="12.75" customHeight="1">
      <c r="E342" s="206"/>
    </row>
    <row r="343" ht="12.75" customHeight="1">
      <c r="E343" s="206"/>
    </row>
    <row r="344" ht="12.75" customHeight="1">
      <c r="E344" s="206"/>
    </row>
    <row r="345" ht="12.75" customHeight="1">
      <c r="E345" s="206"/>
    </row>
    <row r="346" ht="12.75" customHeight="1">
      <c r="E346" s="206"/>
    </row>
    <row r="347" ht="12.75" customHeight="1">
      <c r="E347" s="206"/>
    </row>
    <row r="348" ht="12.75" customHeight="1">
      <c r="E348" s="206"/>
    </row>
    <row r="349" ht="12.75" customHeight="1">
      <c r="E349" s="206"/>
    </row>
    <row r="350" ht="12.75" customHeight="1">
      <c r="E350" s="206"/>
    </row>
    <row r="351" ht="12.75" customHeight="1">
      <c r="E351" s="206"/>
    </row>
    <row r="352" ht="12.75" customHeight="1">
      <c r="E352" s="206"/>
    </row>
    <row r="353" ht="12.75" customHeight="1">
      <c r="E353" s="206"/>
    </row>
    <row r="354" ht="12.75" customHeight="1">
      <c r="E354" s="206"/>
    </row>
    <row r="355" ht="12.75" customHeight="1">
      <c r="E355" s="206"/>
    </row>
    <row r="356" ht="12.75" customHeight="1">
      <c r="E356" s="206"/>
    </row>
    <row r="357" ht="12.75" customHeight="1">
      <c r="E357" s="206"/>
    </row>
    <row r="358" ht="12.75" customHeight="1">
      <c r="E358" s="206"/>
    </row>
    <row r="359" ht="12.75" customHeight="1">
      <c r="E359" s="206"/>
    </row>
    <row r="360" ht="12.75" customHeight="1">
      <c r="E360" s="206"/>
    </row>
    <row r="361" ht="12.75" customHeight="1">
      <c r="E361" s="206"/>
    </row>
    <row r="362" ht="12.75" customHeight="1">
      <c r="E362" s="206"/>
    </row>
    <row r="363" ht="12.75" customHeight="1">
      <c r="E363" s="206"/>
    </row>
    <row r="364" ht="12.75" customHeight="1">
      <c r="E364" s="206"/>
    </row>
    <row r="365" ht="12.75" customHeight="1">
      <c r="E365" s="206"/>
    </row>
    <row r="366" ht="12.75" customHeight="1">
      <c r="E366" s="206"/>
    </row>
    <row r="367" ht="12.75" customHeight="1">
      <c r="E367" s="206"/>
    </row>
    <row r="368" ht="12.75" customHeight="1">
      <c r="E368" s="206"/>
    </row>
    <row r="369" ht="12.75" customHeight="1">
      <c r="E369" s="206"/>
    </row>
    <row r="370" ht="12.75" customHeight="1">
      <c r="E370" s="206"/>
    </row>
    <row r="371" ht="12.75" customHeight="1">
      <c r="E371" s="206"/>
    </row>
    <row r="372" ht="12.75" customHeight="1">
      <c r="E372" s="206"/>
    </row>
    <row r="373" ht="12.75" customHeight="1">
      <c r="E373" s="206"/>
    </row>
    <row r="374" ht="12.75" customHeight="1">
      <c r="E374" s="206"/>
    </row>
    <row r="375" ht="12.75" customHeight="1">
      <c r="E375" s="206"/>
    </row>
    <row r="376" ht="12.75" customHeight="1">
      <c r="E376" s="206"/>
    </row>
    <row r="377" ht="12.75" customHeight="1">
      <c r="E377" s="206"/>
    </row>
    <row r="378" ht="12.75" customHeight="1">
      <c r="E378" s="206"/>
    </row>
    <row r="379" ht="12.75" customHeight="1">
      <c r="E379" s="206"/>
    </row>
    <row r="380" ht="12.75" customHeight="1">
      <c r="E380" s="206"/>
    </row>
    <row r="381" ht="12.75" customHeight="1">
      <c r="E381" s="206"/>
    </row>
    <row r="382" ht="12.75" customHeight="1">
      <c r="E382" s="206"/>
    </row>
    <row r="383" ht="12.75" customHeight="1">
      <c r="E383" s="206"/>
    </row>
    <row r="384" ht="12.75" customHeight="1">
      <c r="E384" s="206"/>
    </row>
    <row r="385" ht="12.75" customHeight="1">
      <c r="E385" s="206"/>
    </row>
    <row r="386" ht="12.75" customHeight="1">
      <c r="E386" s="206"/>
    </row>
    <row r="387" ht="12.75" customHeight="1">
      <c r="E387" s="206"/>
    </row>
    <row r="388" ht="12.75" customHeight="1">
      <c r="E388" s="206"/>
    </row>
    <row r="389" ht="12.75" customHeight="1">
      <c r="E389" s="206"/>
    </row>
    <row r="390" ht="12.75" customHeight="1">
      <c r="E390" s="206"/>
    </row>
    <row r="391" ht="12.75" customHeight="1">
      <c r="E391" s="206"/>
    </row>
    <row r="392" ht="12.75" customHeight="1">
      <c r="E392" s="206"/>
    </row>
    <row r="393" ht="12.75" customHeight="1">
      <c r="E393" s="206"/>
    </row>
    <row r="394" ht="12.75" customHeight="1">
      <c r="E394" s="206"/>
    </row>
    <row r="395" ht="12.75" customHeight="1">
      <c r="E395" s="206"/>
    </row>
    <row r="396" ht="12.75" customHeight="1">
      <c r="E396" s="206"/>
    </row>
    <row r="397" ht="12.75" customHeight="1">
      <c r="E397" s="206"/>
    </row>
    <row r="398" ht="12.75" customHeight="1">
      <c r="E398" s="206"/>
    </row>
    <row r="399" ht="12.75" customHeight="1">
      <c r="E399" s="206"/>
    </row>
    <row r="400" ht="12.75" customHeight="1">
      <c r="E400" s="206"/>
    </row>
    <row r="401" ht="12.75" customHeight="1">
      <c r="E401" s="206"/>
    </row>
    <row r="402" ht="12.75" customHeight="1">
      <c r="E402" s="206"/>
    </row>
    <row r="403" ht="12.75" customHeight="1">
      <c r="E403" s="206"/>
    </row>
    <row r="404" ht="12.75" customHeight="1">
      <c r="E404" s="206"/>
    </row>
    <row r="405" ht="12.75" customHeight="1">
      <c r="E405" s="206"/>
    </row>
    <row r="406" ht="12.75" customHeight="1">
      <c r="E406" s="206"/>
    </row>
    <row r="407" ht="12.75" customHeight="1">
      <c r="E407" s="206"/>
    </row>
    <row r="408" ht="12.75" customHeight="1">
      <c r="E408" s="206"/>
    </row>
    <row r="409" ht="12.75" customHeight="1">
      <c r="E409" s="206"/>
    </row>
    <row r="410" ht="12.75" customHeight="1">
      <c r="E410" s="206"/>
    </row>
    <row r="411" ht="12.75" customHeight="1">
      <c r="E411" s="206"/>
    </row>
    <row r="412" ht="12.75" customHeight="1">
      <c r="E412" s="206"/>
    </row>
    <row r="413" ht="12.75" customHeight="1">
      <c r="E413" s="206"/>
    </row>
    <row r="414" ht="12.75" customHeight="1">
      <c r="E414" s="206"/>
    </row>
    <row r="415" ht="12.75" customHeight="1">
      <c r="E415" s="206"/>
    </row>
    <row r="416" ht="12.75" customHeight="1">
      <c r="E416" s="206"/>
    </row>
    <row r="417" ht="12.75" customHeight="1">
      <c r="E417" s="206"/>
    </row>
    <row r="418" ht="12.75" customHeight="1">
      <c r="E418" s="206"/>
    </row>
    <row r="419" ht="12.75" customHeight="1">
      <c r="E419" s="206"/>
    </row>
    <row r="420" ht="12.75" customHeight="1">
      <c r="E420" s="206"/>
    </row>
    <row r="421" ht="12.75" customHeight="1">
      <c r="E421" s="206"/>
    </row>
    <row r="422" ht="12.75" customHeight="1">
      <c r="E422" s="206"/>
    </row>
    <row r="423" ht="12.75" customHeight="1">
      <c r="E423" s="206"/>
    </row>
    <row r="424" ht="12.75" customHeight="1">
      <c r="E424" s="206"/>
    </row>
    <row r="425" ht="12.75" customHeight="1">
      <c r="E425" s="206"/>
    </row>
    <row r="426" ht="12.75" customHeight="1">
      <c r="E426" s="206"/>
    </row>
    <row r="427" ht="12.75" customHeight="1">
      <c r="E427" s="206"/>
    </row>
    <row r="428" ht="12.75" customHeight="1">
      <c r="E428" s="206"/>
    </row>
    <row r="429" ht="12.75" customHeight="1">
      <c r="E429" s="206"/>
    </row>
    <row r="430" ht="12.75" customHeight="1">
      <c r="E430" s="206"/>
    </row>
    <row r="431" ht="12.75" customHeight="1">
      <c r="E431" s="206"/>
    </row>
    <row r="432" ht="12.75" customHeight="1">
      <c r="E432" s="206"/>
    </row>
    <row r="433" ht="12.75" customHeight="1">
      <c r="E433" s="206"/>
    </row>
    <row r="434" ht="12.75" customHeight="1">
      <c r="E434" s="206"/>
    </row>
    <row r="435" ht="12.75" customHeight="1">
      <c r="E435" s="206"/>
    </row>
    <row r="436" ht="12.75" customHeight="1">
      <c r="E436" s="206"/>
    </row>
    <row r="437" ht="12.75" customHeight="1">
      <c r="E437" s="206"/>
    </row>
    <row r="438" ht="12.75" customHeight="1">
      <c r="E438" s="206"/>
    </row>
    <row r="439" ht="12.75" customHeight="1">
      <c r="E439" s="206"/>
    </row>
    <row r="440" ht="12.75" customHeight="1">
      <c r="E440" s="206"/>
    </row>
    <row r="441" ht="12.75" customHeight="1">
      <c r="E441" s="206"/>
    </row>
    <row r="442" ht="12.75" customHeight="1">
      <c r="E442" s="206"/>
    </row>
    <row r="443" ht="12.75" customHeight="1">
      <c r="E443" s="206"/>
    </row>
    <row r="444" ht="12.75" customHeight="1">
      <c r="E444" s="206"/>
    </row>
    <row r="445" ht="12.75" customHeight="1">
      <c r="E445" s="206"/>
    </row>
    <row r="446" ht="12.75" customHeight="1">
      <c r="E446" s="206"/>
    </row>
    <row r="447" ht="12.75" customHeight="1">
      <c r="E447" s="206"/>
    </row>
    <row r="448" ht="12.75" customHeight="1">
      <c r="E448" s="206"/>
    </row>
    <row r="449" ht="12.75" customHeight="1">
      <c r="E449" s="206"/>
    </row>
    <row r="450" ht="12.75" customHeight="1">
      <c r="E450" s="206"/>
    </row>
    <row r="451" ht="12.75" customHeight="1">
      <c r="E451" s="206"/>
    </row>
    <row r="452" ht="12.75" customHeight="1">
      <c r="E452" s="206"/>
    </row>
    <row r="453" ht="12.75" customHeight="1">
      <c r="E453" s="206"/>
    </row>
    <row r="454" ht="12.75" customHeight="1">
      <c r="E454" s="206"/>
    </row>
    <row r="455" ht="12.75" customHeight="1">
      <c r="E455" s="206"/>
    </row>
    <row r="456" ht="12.75" customHeight="1">
      <c r="E456" s="206"/>
    </row>
    <row r="457" ht="12.75" customHeight="1">
      <c r="E457" s="206"/>
    </row>
    <row r="458" ht="12.75" customHeight="1">
      <c r="E458" s="206"/>
    </row>
    <row r="459" ht="12.75" customHeight="1">
      <c r="E459" s="206"/>
    </row>
    <row r="460" ht="12.75" customHeight="1">
      <c r="E460" s="206"/>
    </row>
    <row r="461" ht="12.75" customHeight="1">
      <c r="E461" s="206"/>
    </row>
    <row r="462" ht="12.75" customHeight="1">
      <c r="E462" s="206"/>
    </row>
    <row r="463" ht="12.75" customHeight="1">
      <c r="E463" s="206"/>
    </row>
    <row r="464" ht="12.75" customHeight="1">
      <c r="E464" s="206"/>
    </row>
    <row r="465" ht="12.75" customHeight="1">
      <c r="E465" s="206"/>
    </row>
    <row r="466" ht="12.75" customHeight="1">
      <c r="E466" s="206"/>
    </row>
    <row r="467" ht="12.75" customHeight="1">
      <c r="E467" s="206"/>
    </row>
    <row r="468" ht="12.75" customHeight="1">
      <c r="E468" s="206"/>
    </row>
    <row r="469" ht="12.75" customHeight="1">
      <c r="E469" s="206"/>
    </row>
    <row r="470" ht="12.75" customHeight="1">
      <c r="E470" s="206"/>
    </row>
    <row r="471" ht="12.75" customHeight="1">
      <c r="E471" s="206"/>
    </row>
    <row r="472" ht="12.75" customHeight="1">
      <c r="E472" s="206"/>
    </row>
    <row r="473" ht="12.75" customHeight="1">
      <c r="E473" s="206"/>
    </row>
    <row r="474" ht="12.75" customHeight="1">
      <c r="E474" s="206"/>
    </row>
    <row r="475" ht="12.75" customHeight="1">
      <c r="E475" s="206"/>
    </row>
    <row r="476" ht="12.75" customHeight="1">
      <c r="E476" s="206"/>
    </row>
    <row r="477" ht="12.75" customHeight="1">
      <c r="E477" s="206"/>
    </row>
    <row r="478" ht="12.75" customHeight="1">
      <c r="E478" s="206"/>
    </row>
    <row r="479" ht="12.75" customHeight="1">
      <c r="E479" s="206"/>
    </row>
    <row r="480" ht="12.75" customHeight="1">
      <c r="E480" s="206"/>
    </row>
    <row r="481" ht="12.75" customHeight="1">
      <c r="E481" s="206"/>
    </row>
    <row r="482" ht="12.75" customHeight="1">
      <c r="E482" s="206"/>
    </row>
    <row r="483" ht="12.75" customHeight="1">
      <c r="E483" s="206"/>
    </row>
    <row r="484" ht="12.75" customHeight="1">
      <c r="E484" s="206"/>
    </row>
    <row r="485" ht="12.75" customHeight="1">
      <c r="E485" s="206"/>
    </row>
    <row r="486" ht="12.75" customHeight="1">
      <c r="E486" s="206"/>
    </row>
    <row r="487" ht="12.75" customHeight="1">
      <c r="E487" s="206"/>
    </row>
    <row r="488" ht="12.75" customHeight="1">
      <c r="E488" s="206"/>
    </row>
    <row r="489" ht="12.75" customHeight="1">
      <c r="E489" s="206"/>
    </row>
    <row r="490" ht="12.75" customHeight="1">
      <c r="E490" s="206"/>
    </row>
    <row r="491" ht="12.75" customHeight="1">
      <c r="E491" s="206"/>
    </row>
    <row r="492" ht="12.75" customHeight="1">
      <c r="E492" s="206"/>
    </row>
    <row r="493" ht="12.75" customHeight="1">
      <c r="E493" s="206"/>
    </row>
    <row r="494" ht="12.75" customHeight="1">
      <c r="E494" s="206"/>
    </row>
    <row r="495" ht="12.75" customHeight="1">
      <c r="E495" s="206"/>
    </row>
    <row r="496" ht="12.75" customHeight="1">
      <c r="E496" s="206"/>
    </row>
    <row r="497" ht="12.75" customHeight="1">
      <c r="E497" s="206"/>
    </row>
    <row r="498" ht="12.75" customHeight="1">
      <c r="E498" s="206"/>
    </row>
    <row r="499" ht="12.75" customHeight="1">
      <c r="E499" s="206"/>
    </row>
    <row r="500" ht="12.75" customHeight="1">
      <c r="E500" s="206"/>
    </row>
    <row r="501" ht="12.75" customHeight="1">
      <c r="E501" s="206"/>
    </row>
    <row r="502" ht="12.75" customHeight="1">
      <c r="E502" s="206"/>
    </row>
    <row r="503" ht="12.75" customHeight="1">
      <c r="E503" s="206"/>
    </row>
    <row r="504" ht="12.75" customHeight="1">
      <c r="E504" s="206"/>
    </row>
    <row r="505" ht="12.75" customHeight="1">
      <c r="E505" s="206"/>
    </row>
    <row r="506" ht="12.75" customHeight="1">
      <c r="E506" s="206"/>
    </row>
    <row r="507" ht="12.75" customHeight="1">
      <c r="E507" s="206"/>
    </row>
    <row r="508" ht="12.75" customHeight="1">
      <c r="E508" s="206"/>
    </row>
    <row r="509" ht="12.75" customHeight="1">
      <c r="E509" s="206"/>
    </row>
    <row r="510" ht="12.75" customHeight="1">
      <c r="E510" s="206"/>
    </row>
    <row r="511" ht="12.75" customHeight="1">
      <c r="E511" s="206"/>
    </row>
    <row r="512" ht="12.75" customHeight="1">
      <c r="E512" s="206"/>
    </row>
    <row r="513" ht="12.75" customHeight="1">
      <c r="E513" s="206"/>
    </row>
    <row r="514" ht="12.75" customHeight="1">
      <c r="E514" s="206"/>
    </row>
    <row r="515" ht="12.75" customHeight="1">
      <c r="E515" s="206"/>
    </row>
    <row r="516" ht="12.75" customHeight="1">
      <c r="E516" s="206"/>
    </row>
    <row r="517" ht="12.75" customHeight="1">
      <c r="E517" s="206"/>
    </row>
    <row r="518" ht="12.75" customHeight="1">
      <c r="E518" s="206"/>
    </row>
    <row r="519" ht="12.75" customHeight="1">
      <c r="E519" s="206"/>
    </row>
    <row r="520" ht="12.75" customHeight="1">
      <c r="E520" s="206"/>
    </row>
    <row r="521" ht="12.75" customHeight="1">
      <c r="E521" s="206"/>
    </row>
    <row r="522" ht="12.75" customHeight="1">
      <c r="E522" s="206"/>
    </row>
    <row r="523" ht="12.75" customHeight="1">
      <c r="E523" s="206"/>
    </row>
    <row r="524" ht="12.75" customHeight="1">
      <c r="E524" s="206"/>
    </row>
    <row r="525" ht="12.75" customHeight="1">
      <c r="E525" s="206"/>
    </row>
    <row r="526" ht="12.75" customHeight="1">
      <c r="E526" s="206"/>
    </row>
    <row r="527" ht="12.75" customHeight="1">
      <c r="E527" s="206"/>
    </row>
    <row r="528" ht="12.75" customHeight="1">
      <c r="E528" s="206"/>
    </row>
    <row r="529" ht="12.75" customHeight="1">
      <c r="E529" s="206"/>
    </row>
    <row r="530" ht="12.75" customHeight="1">
      <c r="E530" s="206"/>
    </row>
    <row r="531" ht="12.75" customHeight="1">
      <c r="E531" s="206"/>
    </row>
    <row r="532" ht="12.75" customHeight="1">
      <c r="E532" s="206"/>
    </row>
    <row r="533" ht="12.75" customHeight="1">
      <c r="E533" s="206"/>
    </row>
    <row r="534" ht="12.75" customHeight="1">
      <c r="E534" s="206"/>
    </row>
    <row r="535" ht="12.75" customHeight="1">
      <c r="E535" s="206"/>
    </row>
    <row r="536" ht="12.75" customHeight="1">
      <c r="E536" s="206"/>
    </row>
    <row r="537" ht="12.75" customHeight="1">
      <c r="E537" s="206"/>
    </row>
    <row r="538" ht="12.75" customHeight="1">
      <c r="E538" s="206"/>
    </row>
    <row r="539" ht="12.75" customHeight="1">
      <c r="E539" s="206"/>
    </row>
    <row r="540" ht="12.75" customHeight="1">
      <c r="E540" s="206"/>
    </row>
    <row r="541" ht="12.75" customHeight="1">
      <c r="E541" s="206"/>
    </row>
    <row r="542" ht="12.75" customHeight="1">
      <c r="E542" s="206"/>
    </row>
    <row r="543" ht="12.75" customHeight="1">
      <c r="E543" s="206"/>
    </row>
    <row r="544" ht="12.75" customHeight="1">
      <c r="E544" s="206"/>
    </row>
    <row r="545" ht="12.75" customHeight="1">
      <c r="E545" s="206"/>
    </row>
    <row r="546" ht="12.75" customHeight="1">
      <c r="E546" s="206"/>
    </row>
    <row r="547" ht="12.75" customHeight="1">
      <c r="E547" s="206"/>
    </row>
    <row r="548" ht="12.75" customHeight="1">
      <c r="E548" s="206"/>
    </row>
    <row r="549" ht="12.75" customHeight="1">
      <c r="E549" s="206"/>
    </row>
    <row r="550" ht="12.75" customHeight="1">
      <c r="E550" s="206"/>
    </row>
    <row r="551" ht="12.75" customHeight="1">
      <c r="E551" s="206"/>
    </row>
    <row r="552" ht="12.75" customHeight="1">
      <c r="E552" s="206"/>
    </row>
    <row r="553" ht="12.75" customHeight="1">
      <c r="E553" s="206"/>
    </row>
    <row r="554" ht="12.75" customHeight="1">
      <c r="E554" s="206"/>
    </row>
    <row r="555" ht="12.75" customHeight="1">
      <c r="E555" s="206"/>
    </row>
    <row r="556" ht="12.75" customHeight="1">
      <c r="E556" s="206"/>
    </row>
    <row r="557" ht="12.75" customHeight="1">
      <c r="E557" s="206"/>
    </row>
    <row r="558" ht="12.75" customHeight="1">
      <c r="E558" s="206"/>
    </row>
    <row r="559" ht="12.75" customHeight="1">
      <c r="E559" s="206"/>
    </row>
    <row r="560" ht="12.75" customHeight="1">
      <c r="E560" s="206"/>
    </row>
    <row r="561" ht="12.75" customHeight="1">
      <c r="E561" s="206"/>
    </row>
    <row r="562" ht="12.75" customHeight="1">
      <c r="E562" s="206"/>
    </row>
    <row r="563" ht="12.75" customHeight="1">
      <c r="E563" s="206"/>
    </row>
    <row r="564" ht="12.75" customHeight="1">
      <c r="E564" s="206"/>
    </row>
    <row r="565" ht="12.75" customHeight="1">
      <c r="E565" s="206"/>
    </row>
    <row r="566" ht="12.75" customHeight="1">
      <c r="E566" s="206"/>
    </row>
    <row r="567" ht="12.75" customHeight="1">
      <c r="E567" s="206"/>
    </row>
    <row r="568" ht="12.75" customHeight="1">
      <c r="E568" s="206"/>
    </row>
    <row r="569" ht="12.75" customHeight="1">
      <c r="E569" s="206"/>
    </row>
    <row r="570" ht="12.75" customHeight="1">
      <c r="E570" s="206"/>
    </row>
    <row r="571" ht="12.75" customHeight="1">
      <c r="E571" s="206"/>
    </row>
    <row r="572" ht="12.75" customHeight="1">
      <c r="E572" s="206"/>
    </row>
    <row r="573" ht="12.75" customHeight="1">
      <c r="E573" s="206"/>
    </row>
    <row r="574" ht="12.75" customHeight="1">
      <c r="E574" s="206"/>
    </row>
    <row r="575" ht="12.75" customHeight="1">
      <c r="E575" s="206"/>
    </row>
    <row r="576" ht="12.75" customHeight="1">
      <c r="E576" s="206"/>
    </row>
    <row r="577" ht="12.75" customHeight="1">
      <c r="E577" s="206"/>
    </row>
    <row r="578" ht="12.75" customHeight="1">
      <c r="E578" s="206"/>
    </row>
    <row r="579" ht="12.75" customHeight="1">
      <c r="E579" s="206"/>
    </row>
    <row r="580" ht="12.75" customHeight="1">
      <c r="E580" s="206"/>
    </row>
    <row r="581" ht="12.75" customHeight="1">
      <c r="E581" s="206"/>
    </row>
    <row r="582" ht="12.75" customHeight="1">
      <c r="E582" s="206"/>
    </row>
    <row r="583" ht="12.75" customHeight="1">
      <c r="E583" s="206"/>
    </row>
    <row r="584" ht="12.75" customHeight="1">
      <c r="E584" s="206"/>
    </row>
    <row r="585" ht="12.75" customHeight="1">
      <c r="E585" s="206"/>
    </row>
    <row r="586" ht="12.75" customHeight="1">
      <c r="E586" s="206"/>
    </row>
    <row r="587" ht="12.75" customHeight="1">
      <c r="E587" s="206"/>
    </row>
    <row r="588" ht="12.75" customHeight="1">
      <c r="E588" s="206"/>
    </row>
    <row r="589" ht="12.75" customHeight="1">
      <c r="E589" s="206"/>
    </row>
    <row r="590" ht="12.75" customHeight="1">
      <c r="E590" s="206"/>
    </row>
    <row r="591" ht="12.75" customHeight="1">
      <c r="E591" s="206"/>
    </row>
    <row r="592" ht="12.75" customHeight="1">
      <c r="E592" s="206"/>
    </row>
    <row r="593" ht="12.75" customHeight="1">
      <c r="E593" s="206"/>
    </row>
    <row r="594" ht="12.75" customHeight="1">
      <c r="E594" s="206"/>
    </row>
    <row r="595" ht="12.75" customHeight="1">
      <c r="E595" s="206"/>
    </row>
    <row r="596" ht="12.75" customHeight="1">
      <c r="E596" s="206"/>
    </row>
    <row r="597" ht="12.75" customHeight="1">
      <c r="E597" s="206"/>
    </row>
    <row r="598" ht="12.75" customHeight="1">
      <c r="E598" s="206"/>
    </row>
    <row r="599" ht="12.75" customHeight="1">
      <c r="E599" s="206"/>
    </row>
    <row r="600" ht="12.75" customHeight="1">
      <c r="E600" s="206"/>
    </row>
    <row r="601" ht="12.75" customHeight="1">
      <c r="E601" s="206"/>
    </row>
    <row r="602" ht="12.75" customHeight="1">
      <c r="E602" s="206"/>
    </row>
    <row r="603" ht="12.75" customHeight="1">
      <c r="E603" s="206"/>
    </row>
    <row r="604" ht="12.75" customHeight="1">
      <c r="E604" s="206"/>
    </row>
    <row r="605" ht="12.75" customHeight="1">
      <c r="E605" s="206"/>
    </row>
    <row r="606" ht="12.75" customHeight="1">
      <c r="E606" s="206"/>
    </row>
    <row r="607" ht="12.75" customHeight="1">
      <c r="E607" s="206"/>
    </row>
    <row r="608" ht="12.75" customHeight="1">
      <c r="E608" s="206"/>
    </row>
    <row r="609" ht="12.75" customHeight="1">
      <c r="E609" s="206"/>
    </row>
    <row r="610" ht="12.75" customHeight="1">
      <c r="E610" s="206"/>
    </row>
    <row r="611" ht="12.75" customHeight="1">
      <c r="E611" s="206"/>
    </row>
    <row r="612" ht="12.75" customHeight="1">
      <c r="E612" s="206"/>
    </row>
    <row r="613" ht="12.75" customHeight="1">
      <c r="E613" s="206"/>
    </row>
    <row r="614" ht="12.75" customHeight="1">
      <c r="E614" s="206"/>
    </row>
    <row r="615" ht="12.75" customHeight="1">
      <c r="E615" s="206"/>
    </row>
    <row r="616" ht="12.75" customHeight="1">
      <c r="E616" s="206"/>
    </row>
    <row r="617" ht="12.75" customHeight="1">
      <c r="E617" s="206"/>
    </row>
    <row r="618" ht="12.75" customHeight="1">
      <c r="E618" s="206"/>
    </row>
    <row r="619" ht="12.75" customHeight="1">
      <c r="E619" s="206"/>
    </row>
    <row r="620" ht="12.75" customHeight="1">
      <c r="E620" s="206"/>
    </row>
    <row r="621" ht="12.75" customHeight="1">
      <c r="E621" s="206"/>
    </row>
    <row r="622" ht="12.75" customHeight="1">
      <c r="E622" s="206"/>
    </row>
    <row r="623" ht="12.75" customHeight="1">
      <c r="E623" s="206"/>
    </row>
    <row r="624" ht="12.75" customHeight="1">
      <c r="E624" s="206"/>
    </row>
    <row r="625" ht="12.75" customHeight="1">
      <c r="E625" s="206"/>
    </row>
    <row r="626" ht="12.75" customHeight="1">
      <c r="E626" s="206"/>
    </row>
    <row r="627" ht="12.75" customHeight="1">
      <c r="E627" s="206"/>
    </row>
    <row r="628" ht="12.75" customHeight="1">
      <c r="E628" s="206"/>
    </row>
    <row r="629" ht="12.75" customHeight="1">
      <c r="E629" s="206"/>
    </row>
    <row r="630" ht="12.75" customHeight="1">
      <c r="E630" s="206"/>
    </row>
    <row r="631" ht="12.75" customHeight="1">
      <c r="E631" s="206"/>
    </row>
    <row r="632" ht="12.75" customHeight="1">
      <c r="E632" s="206"/>
    </row>
    <row r="633" ht="12.75" customHeight="1">
      <c r="E633" s="206"/>
    </row>
    <row r="634" ht="12.75" customHeight="1">
      <c r="E634" s="206"/>
    </row>
    <row r="635" ht="12.75" customHeight="1">
      <c r="E635" s="206"/>
    </row>
    <row r="636" ht="12.75" customHeight="1">
      <c r="E636" s="206"/>
    </row>
    <row r="637" ht="12.75" customHeight="1">
      <c r="E637" s="206"/>
    </row>
    <row r="638" ht="12.75" customHeight="1">
      <c r="E638" s="206"/>
    </row>
    <row r="639" ht="12.75" customHeight="1">
      <c r="E639" s="206"/>
    </row>
    <row r="640" ht="12.75" customHeight="1">
      <c r="E640" s="206"/>
    </row>
    <row r="641" ht="12.75" customHeight="1">
      <c r="E641" s="206"/>
    </row>
    <row r="642" ht="12.75" customHeight="1">
      <c r="E642" s="206"/>
    </row>
    <row r="643" ht="12.75" customHeight="1">
      <c r="E643" s="206"/>
    </row>
    <row r="644" ht="12.75" customHeight="1">
      <c r="E644" s="206"/>
    </row>
    <row r="645" ht="12.75" customHeight="1">
      <c r="E645" s="206"/>
    </row>
    <row r="646" ht="12.75" customHeight="1">
      <c r="E646" s="206"/>
    </row>
    <row r="647" ht="12.75" customHeight="1">
      <c r="E647" s="206"/>
    </row>
    <row r="648" ht="12.75" customHeight="1">
      <c r="E648" s="206"/>
    </row>
    <row r="649" ht="12.75" customHeight="1">
      <c r="E649" s="206"/>
    </row>
    <row r="650" ht="12.75" customHeight="1">
      <c r="E650" s="206"/>
    </row>
    <row r="651" ht="12.75" customHeight="1">
      <c r="E651" s="206"/>
    </row>
    <row r="652" ht="12.75" customHeight="1">
      <c r="E652" s="206"/>
    </row>
    <row r="653" ht="12.75" customHeight="1">
      <c r="E653" s="206"/>
    </row>
    <row r="654" ht="12.75" customHeight="1">
      <c r="E654" s="206"/>
    </row>
    <row r="655" ht="12.75" customHeight="1">
      <c r="E655" s="206"/>
    </row>
    <row r="656" ht="12.75" customHeight="1">
      <c r="E656" s="206"/>
    </row>
    <row r="657" ht="12.75" customHeight="1">
      <c r="E657" s="206"/>
    </row>
    <row r="658" ht="12.75" customHeight="1">
      <c r="E658" s="206"/>
    </row>
    <row r="659" ht="12.75" customHeight="1">
      <c r="E659" s="206"/>
    </row>
    <row r="660" ht="12.75" customHeight="1">
      <c r="E660" s="206"/>
    </row>
    <row r="661" ht="12.75" customHeight="1">
      <c r="E661" s="206"/>
    </row>
    <row r="662" ht="12.75" customHeight="1">
      <c r="E662" s="206"/>
    </row>
    <row r="663" ht="12.75" customHeight="1">
      <c r="E663" s="206"/>
    </row>
    <row r="664" ht="12.75" customHeight="1">
      <c r="E664" s="206"/>
    </row>
    <row r="665" ht="12.75" customHeight="1">
      <c r="E665" s="206"/>
    </row>
    <row r="666" ht="12.75" customHeight="1">
      <c r="E666" s="206"/>
    </row>
    <row r="667" ht="12.75" customHeight="1">
      <c r="E667" s="206"/>
    </row>
    <row r="668" ht="12.75" customHeight="1">
      <c r="E668" s="206"/>
    </row>
    <row r="669" ht="12.75" customHeight="1">
      <c r="E669" s="206"/>
    </row>
    <row r="670" ht="12.75" customHeight="1">
      <c r="E670" s="206"/>
    </row>
    <row r="671" ht="12.75" customHeight="1">
      <c r="E671" s="206"/>
    </row>
    <row r="672" ht="12.75" customHeight="1">
      <c r="E672" s="206"/>
    </row>
    <row r="673" ht="12.75" customHeight="1">
      <c r="E673" s="206"/>
    </row>
    <row r="674" ht="12.75" customHeight="1">
      <c r="E674" s="206"/>
    </row>
    <row r="675" ht="12.75" customHeight="1">
      <c r="E675" s="206"/>
    </row>
    <row r="676" ht="12.75" customHeight="1">
      <c r="E676" s="206"/>
    </row>
    <row r="677" ht="12.75" customHeight="1">
      <c r="E677" s="206"/>
    </row>
    <row r="678" ht="12.75" customHeight="1">
      <c r="E678" s="206"/>
    </row>
    <row r="679" ht="12.75" customHeight="1">
      <c r="E679" s="206"/>
    </row>
    <row r="680" ht="12.75" customHeight="1">
      <c r="E680" s="206"/>
    </row>
    <row r="681" ht="12.75" customHeight="1">
      <c r="E681" s="206"/>
    </row>
    <row r="682" ht="12.75" customHeight="1">
      <c r="E682" s="206"/>
    </row>
    <row r="683" ht="12.75" customHeight="1">
      <c r="E683" s="206"/>
    </row>
    <row r="684" ht="12.75" customHeight="1">
      <c r="E684" s="206"/>
    </row>
    <row r="685" ht="12.75" customHeight="1">
      <c r="E685" s="206"/>
    </row>
    <row r="686" ht="12.75" customHeight="1">
      <c r="E686" s="206"/>
    </row>
    <row r="687" ht="12.75" customHeight="1">
      <c r="E687" s="206"/>
    </row>
    <row r="688" ht="12.75" customHeight="1">
      <c r="E688" s="206"/>
    </row>
    <row r="689" ht="12.75" customHeight="1">
      <c r="E689" s="206"/>
    </row>
    <row r="690" ht="12.75" customHeight="1">
      <c r="E690" s="206"/>
    </row>
    <row r="691" ht="12.75" customHeight="1">
      <c r="E691" s="206"/>
    </row>
    <row r="692" ht="12.75" customHeight="1">
      <c r="E692" s="206"/>
    </row>
    <row r="693" ht="12.75" customHeight="1">
      <c r="E693" s="206"/>
    </row>
    <row r="694" ht="12.75" customHeight="1">
      <c r="E694" s="206"/>
    </row>
    <row r="695" ht="12.75" customHeight="1">
      <c r="E695" s="206"/>
    </row>
    <row r="696" ht="12.75" customHeight="1">
      <c r="E696" s="206"/>
    </row>
    <row r="697" ht="12.75" customHeight="1">
      <c r="E697" s="206"/>
    </row>
    <row r="698" ht="12.75" customHeight="1">
      <c r="E698" s="206"/>
    </row>
    <row r="699" ht="12.75" customHeight="1">
      <c r="E699" s="206"/>
    </row>
    <row r="700" ht="12.75" customHeight="1">
      <c r="E700" s="206"/>
    </row>
    <row r="701" ht="12.75" customHeight="1">
      <c r="E701" s="206"/>
    </row>
    <row r="702" ht="12.75" customHeight="1">
      <c r="E702" s="206"/>
    </row>
    <row r="703" ht="12.75" customHeight="1">
      <c r="E703" s="206"/>
    </row>
    <row r="704" ht="12.75" customHeight="1">
      <c r="E704" s="206"/>
    </row>
    <row r="705" ht="12.75" customHeight="1">
      <c r="E705" s="206"/>
    </row>
    <row r="706" ht="12.75" customHeight="1">
      <c r="E706" s="206"/>
    </row>
    <row r="707" ht="12.75" customHeight="1">
      <c r="E707" s="206"/>
    </row>
    <row r="708" ht="12.75" customHeight="1">
      <c r="E708" s="206"/>
    </row>
    <row r="709" ht="12.75" customHeight="1">
      <c r="E709" s="206"/>
    </row>
    <row r="710" ht="12.75" customHeight="1">
      <c r="E710" s="206"/>
    </row>
    <row r="711" ht="12.75" customHeight="1">
      <c r="E711" s="206"/>
    </row>
    <row r="712" ht="12.75" customHeight="1">
      <c r="E712" s="206"/>
    </row>
    <row r="713" ht="12.75" customHeight="1">
      <c r="E713" s="206"/>
    </row>
    <row r="714" ht="12.75" customHeight="1">
      <c r="E714" s="206"/>
    </row>
    <row r="715" ht="12.75" customHeight="1">
      <c r="E715" s="206"/>
    </row>
    <row r="716" ht="12.75" customHeight="1">
      <c r="E716" s="206"/>
    </row>
    <row r="717" ht="12.75" customHeight="1">
      <c r="E717" s="206"/>
    </row>
    <row r="718" ht="12.75" customHeight="1">
      <c r="E718" s="206"/>
    </row>
    <row r="719" ht="12.75" customHeight="1">
      <c r="E719" s="206"/>
    </row>
    <row r="720" ht="12.75" customHeight="1">
      <c r="E720" s="206"/>
    </row>
    <row r="721" ht="12.75" customHeight="1">
      <c r="E721" s="206"/>
    </row>
    <row r="722" ht="12.75" customHeight="1">
      <c r="E722" s="206"/>
    </row>
    <row r="723" ht="12.75" customHeight="1">
      <c r="E723" s="206"/>
    </row>
    <row r="724" ht="12.75" customHeight="1">
      <c r="E724" s="206"/>
    </row>
    <row r="725" ht="12.75" customHeight="1">
      <c r="E725" s="206"/>
    </row>
    <row r="726" ht="12.75" customHeight="1">
      <c r="E726" s="206"/>
    </row>
    <row r="727" ht="12.75" customHeight="1">
      <c r="E727" s="206"/>
    </row>
    <row r="728" ht="12.75" customHeight="1">
      <c r="E728" s="206"/>
    </row>
    <row r="729" ht="12.75" customHeight="1">
      <c r="E729" s="206"/>
    </row>
    <row r="730" ht="12.75" customHeight="1">
      <c r="E730" s="206"/>
    </row>
    <row r="731" ht="12.75" customHeight="1">
      <c r="E731" s="206"/>
    </row>
    <row r="732" ht="12.75" customHeight="1">
      <c r="E732" s="206"/>
    </row>
    <row r="733" ht="12.75" customHeight="1">
      <c r="E733" s="206"/>
    </row>
    <row r="734" ht="12.75" customHeight="1">
      <c r="E734" s="206"/>
    </row>
    <row r="735" ht="12.75" customHeight="1">
      <c r="E735" s="206"/>
    </row>
    <row r="736" ht="12.75" customHeight="1">
      <c r="E736" s="206"/>
    </row>
    <row r="737" ht="12.75" customHeight="1">
      <c r="E737" s="206"/>
    </row>
    <row r="738" ht="12.75" customHeight="1">
      <c r="E738" s="206"/>
    </row>
    <row r="739" ht="12.75" customHeight="1">
      <c r="E739" s="206"/>
    </row>
    <row r="740" ht="12.75" customHeight="1">
      <c r="E740" s="206"/>
    </row>
    <row r="741" ht="12.75" customHeight="1">
      <c r="E741" s="206"/>
    </row>
    <row r="742" ht="12.75" customHeight="1">
      <c r="E742" s="206"/>
    </row>
    <row r="743" ht="12.75" customHeight="1">
      <c r="E743" s="206"/>
    </row>
    <row r="744" ht="12.75" customHeight="1">
      <c r="E744" s="206"/>
    </row>
    <row r="745" ht="12.75" customHeight="1">
      <c r="E745" s="206"/>
    </row>
    <row r="746" ht="12.75" customHeight="1">
      <c r="E746" s="206"/>
    </row>
    <row r="747" ht="12.75" customHeight="1">
      <c r="E747" s="206"/>
    </row>
    <row r="748" ht="12.75" customHeight="1">
      <c r="E748" s="206"/>
    </row>
    <row r="749" ht="12.75" customHeight="1">
      <c r="E749" s="206"/>
    </row>
    <row r="750" ht="12.75" customHeight="1">
      <c r="E750" s="206"/>
    </row>
    <row r="751" ht="12.75" customHeight="1">
      <c r="E751" s="206"/>
    </row>
    <row r="752" ht="12.75" customHeight="1">
      <c r="E752" s="206"/>
    </row>
    <row r="753" ht="12.75" customHeight="1">
      <c r="E753" s="206"/>
    </row>
    <row r="754" ht="12.75" customHeight="1">
      <c r="E754" s="206"/>
    </row>
    <row r="755" ht="12.75" customHeight="1">
      <c r="E755" s="206"/>
    </row>
    <row r="756" ht="12.75" customHeight="1">
      <c r="E756" s="206"/>
    </row>
    <row r="757" ht="12.75" customHeight="1">
      <c r="E757" s="206"/>
    </row>
    <row r="758" ht="12.75" customHeight="1">
      <c r="E758" s="206"/>
    </row>
    <row r="759" ht="12.75" customHeight="1">
      <c r="E759" s="206"/>
    </row>
    <row r="760" ht="12.75" customHeight="1">
      <c r="E760" s="206"/>
    </row>
    <row r="761" ht="12.75" customHeight="1">
      <c r="E761" s="206"/>
    </row>
    <row r="762" ht="12.75" customHeight="1">
      <c r="E762" s="206"/>
    </row>
    <row r="763" ht="12.75" customHeight="1">
      <c r="E763" s="206"/>
    </row>
    <row r="764" ht="12.75" customHeight="1">
      <c r="E764" s="206"/>
    </row>
    <row r="765" ht="12.75" customHeight="1">
      <c r="E765" s="206"/>
    </row>
    <row r="766" ht="12.75" customHeight="1">
      <c r="E766" s="206"/>
    </row>
    <row r="767" ht="12.75" customHeight="1">
      <c r="E767" s="206"/>
    </row>
    <row r="768" ht="12.75" customHeight="1">
      <c r="E768" s="206"/>
    </row>
    <row r="769" ht="12.75" customHeight="1">
      <c r="E769" s="206"/>
    </row>
    <row r="770" ht="12.75" customHeight="1">
      <c r="E770" s="206"/>
    </row>
    <row r="771" ht="12.75" customHeight="1">
      <c r="E771" s="206"/>
    </row>
    <row r="772" ht="12.75" customHeight="1">
      <c r="E772" s="206"/>
    </row>
    <row r="773" ht="12.75" customHeight="1">
      <c r="E773" s="206"/>
    </row>
    <row r="774" ht="12.75" customHeight="1">
      <c r="E774" s="206"/>
    </row>
    <row r="775" ht="12.75" customHeight="1">
      <c r="E775" s="206"/>
    </row>
    <row r="776" ht="12.75" customHeight="1">
      <c r="E776" s="206"/>
    </row>
    <row r="777" ht="12.75" customHeight="1">
      <c r="E777" s="206"/>
    </row>
    <row r="778" ht="12.75" customHeight="1">
      <c r="E778" s="206"/>
    </row>
    <row r="779" ht="12.75" customHeight="1">
      <c r="E779" s="206"/>
    </row>
    <row r="780" ht="12.75" customHeight="1">
      <c r="E780" s="206"/>
    </row>
    <row r="781" ht="12.75" customHeight="1">
      <c r="E781" s="206"/>
    </row>
    <row r="782" ht="12.75" customHeight="1">
      <c r="E782" s="206"/>
    </row>
    <row r="783" ht="12.75" customHeight="1">
      <c r="E783" s="206"/>
    </row>
    <row r="784" ht="12.75" customHeight="1">
      <c r="E784" s="206"/>
    </row>
    <row r="785" ht="12.75" customHeight="1">
      <c r="E785" s="206"/>
    </row>
    <row r="786" ht="12.75" customHeight="1">
      <c r="E786" s="206"/>
    </row>
    <row r="787" ht="12.75" customHeight="1">
      <c r="E787" s="206"/>
    </row>
    <row r="788" ht="12.75" customHeight="1">
      <c r="E788" s="206"/>
    </row>
    <row r="789" ht="12.75" customHeight="1">
      <c r="E789" s="206"/>
    </row>
    <row r="790" ht="12.75" customHeight="1">
      <c r="E790" s="206"/>
    </row>
    <row r="791" ht="12.75" customHeight="1">
      <c r="E791" s="206"/>
    </row>
    <row r="792" ht="12.75" customHeight="1">
      <c r="E792" s="206"/>
    </row>
    <row r="793" ht="12.75" customHeight="1">
      <c r="E793" s="206"/>
    </row>
    <row r="794" ht="12.75" customHeight="1">
      <c r="E794" s="206"/>
    </row>
    <row r="795" ht="12.75" customHeight="1">
      <c r="E795" s="206"/>
    </row>
    <row r="796" ht="12.75" customHeight="1">
      <c r="E796" s="206"/>
    </row>
    <row r="797" ht="12.75" customHeight="1">
      <c r="E797" s="206"/>
    </row>
    <row r="798" ht="12.75" customHeight="1">
      <c r="E798" s="206"/>
    </row>
    <row r="799" ht="12.75" customHeight="1">
      <c r="E799" s="206"/>
    </row>
    <row r="800" ht="12.75" customHeight="1">
      <c r="E800" s="206"/>
    </row>
    <row r="801" ht="12.75" customHeight="1">
      <c r="E801" s="206"/>
    </row>
    <row r="802" ht="12.75" customHeight="1">
      <c r="E802" s="206"/>
    </row>
    <row r="803" ht="12.75" customHeight="1">
      <c r="E803" s="206"/>
    </row>
    <row r="804" ht="12.75" customHeight="1">
      <c r="E804" s="206"/>
    </row>
    <row r="805" ht="12.75" customHeight="1">
      <c r="E805" s="206"/>
    </row>
    <row r="806" ht="12.75" customHeight="1">
      <c r="E806" s="206"/>
    </row>
    <row r="807" ht="12.75" customHeight="1">
      <c r="E807" s="206"/>
    </row>
    <row r="808" ht="12.75" customHeight="1">
      <c r="E808" s="206"/>
    </row>
    <row r="809" ht="12.75" customHeight="1">
      <c r="E809" s="206"/>
    </row>
    <row r="810" ht="12.75" customHeight="1">
      <c r="E810" s="206"/>
    </row>
    <row r="811" ht="12.75" customHeight="1">
      <c r="E811" s="206"/>
    </row>
    <row r="812" ht="12.75" customHeight="1">
      <c r="E812" s="206"/>
    </row>
    <row r="813" ht="12.75" customHeight="1">
      <c r="E813" s="206"/>
    </row>
    <row r="814" ht="12.75" customHeight="1">
      <c r="E814" s="206"/>
    </row>
    <row r="815" ht="12.75" customHeight="1">
      <c r="E815" s="206"/>
    </row>
    <row r="816" ht="12.75" customHeight="1">
      <c r="E816" s="206"/>
    </row>
    <row r="817" ht="12.75" customHeight="1">
      <c r="E817" s="206"/>
    </row>
    <row r="818" ht="12.75" customHeight="1">
      <c r="E818" s="206"/>
    </row>
    <row r="819" ht="12.75" customHeight="1">
      <c r="E819" s="206"/>
    </row>
    <row r="820" ht="12.75" customHeight="1">
      <c r="E820" s="206"/>
    </row>
    <row r="821" ht="12.75" customHeight="1">
      <c r="E821" s="206"/>
    </row>
    <row r="822" ht="12.75" customHeight="1">
      <c r="E822" s="206"/>
    </row>
    <row r="823" ht="12.75" customHeight="1">
      <c r="E823" s="206"/>
    </row>
    <row r="824" ht="12.75" customHeight="1">
      <c r="E824" s="206"/>
    </row>
    <row r="825" ht="12.75" customHeight="1">
      <c r="E825" s="206"/>
    </row>
    <row r="826" ht="12.75" customHeight="1">
      <c r="E826" s="206"/>
    </row>
    <row r="827" ht="12.75" customHeight="1">
      <c r="E827" s="206"/>
    </row>
    <row r="828" ht="12.75" customHeight="1">
      <c r="E828" s="206"/>
    </row>
    <row r="829" ht="12.75" customHeight="1">
      <c r="E829" s="206"/>
    </row>
    <row r="830" ht="12.75" customHeight="1">
      <c r="E830" s="206"/>
    </row>
    <row r="831" ht="12.75" customHeight="1">
      <c r="E831" s="206"/>
    </row>
    <row r="832" ht="12.75" customHeight="1">
      <c r="E832" s="206"/>
    </row>
    <row r="833" ht="12.75" customHeight="1">
      <c r="E833" s="206"/>
    </row>
    <row r="834" ht="12.75" customHeight="1">
      <c r="E834" s="206"/>
    </row>
    <row r="835" ht="12.75" customHeight="1">
      <c r="E835" s="206"/>
    </row>
    <row r="836" ht="12.75" customHeight="1">
      <c r="E836" s="206"/>
    </row>
    <row r="837" ht="12.75" customHeight="1">
      <c r="E837" s="206"/>
    </row>
    <row r="838" ht="12.75" customHeight="1">
      <c r="E838" s="206"/>
    </row>
    <row r="839" ht="12.75" customHeight="1">
      <c r="E839" s="206"/>
    </row>
    <row r="840" ht="12.75" customHeight="1">
      <c r="E840" s="206"/>
    </row>
    <row r="841" ht="12.75" customHeight="1">
      <c r="E841" s="206"/>
    </row>
    <row r="842" ht="12.75" customHeight="1">
      <c r="E842" s="206"/>
    </row>
    <row r="843" ht="12.75" customHeight="1">
      <c r="E843" s="206"/>
    </row>
    <row r="844" ht="12.75" customHeight="1">
      <c r="E844" s="206"/>
    </row>
    <row r="845" ht="12.75" customHeight="1">
      <c r="E845" s="206"/>
    </row>
    <row r="846" ht="12.75" customHeight="1">
      <c r="E846" s="206"/>
    </row>
    <row r="847" ht="12.75" customHeight="1">
      <c r="E847" s="206"/>
    </row>
    <row r="848" ht="12.75" customHeight="1">
      <c r="E848" s="206"/>
    </row>
    <row r="849" ht="12.75" customHeight="1">
      <c r="E849" s="206"/>
    </row>
    <row r="850" ht="12.75" customHeight="1">
      <c r="E850" s="206"/>
    </row>
    <row r="851" ht="12.75" customHeight="1">
      <c r="E851" s="206"/>
    </row>
    <row r="852" ht="12.75" customHeight="1">
      <c r="E852" s="206"/>
    </row>
    <row r="853" ht="12.75" customHeight="1">
      <c r="E853" s="206"/>
    </row>
    <row r="854" ht="12.75" customHeight="1">
      <c r="E854" s="206"/>
    </row>
    <row r="855" ht="12.75" customHeight="1">
      <c r="E855" s="206"/>
    </row>
    <row r="856" ht="12.75" customHeight="1">
      <c r="E856" s="206"/>
    </row>
    <row r="857" ht="12.75" customHeight="1">
      <c r="E857" s="206"/>
    </row>
    <row r="858" ht="12.75" customHeight="1">
      <c r="E858" s="206"/>
    </row>
    <row r="859" ht="12.75" customHeight="1">
      <c r="E859" s="206"/>
    </row>
    <row r="860" ht="12.75" customHeight="1">
      <c r="E860" s="206"/>
    </row>
    <row r="861" ht="12.75" customHeight="1">
      <c r="E861" s="206"/>
    </row>
    <row r="862" ht="12.75" customHeight="1">
      <c r="E862" s="206"/>
    </row>
    <row r="863" ht="12.75" customHeight="1">
      <c r="E863" s="206"/>
    </row>
    <row r="864" ht="12.75" customHeight="1">
      <c r="E864" s="206"/>
    </row>
    <row r="865" ht="12.75" customHeight="1">
      <c r="E865" s="206"/>
    </row>
    <row r="866" ht="12.75" customHeight="1">
      <c r="E866" s="206"/>
    </row>
    <row r="867" ht="12.75" customHeight="1">
      <c r="E867" s="206"/>
    </row>
    <row r="868" ht="12.75" customHeight="1">
      <c r="E868" s="206"/>
    </row>
    <row r="869" ht="12.75" customHeight="1">
      <c r="E869" s="206"/>
    </row>
    <row r="870" ht="12.75" customHeight="1">
      <c r="E870" s="206"/>
    </row>
    <row r="871" ht="12.75" customHeight="1">
      <c r="E871" s="206"/>
    </row>
    <row r="872" ht="12.75" customHeight="1">
      <c r="E872" s="206"/>
    </row>
    <row r="873" ht="12.75" customHeight="1">
      <c r="E873" s="206"/>
    </row>
    <row r="874" ht="12.75" customHeight="1">
      <c r="E874" s="206"/>
    </row>
    <row r="875" ht="12.75" customHeight="1">
      <c r="E875" s="206"/>
    </row>
    <row r="876" ht="12.75" customHeight="1">
      <c r="E876" s="206"/>
    </row>
    <row r="877" ht="12.75" customHeight="1">
      <c r="E877" s="206"/>
    </row>
    <row r="878" ht="12.75" customHeight="1">
      <c r="E878" s="206"/>
    </row>
    <row r="879" ht="12.75" customHeight="1">
      <c r="E879" s="206"/>
    </row>
    <row r="880" ht="12.75" customHeight="1">
      <c r="E880" s="206"/>
    </row>
    <row r="881" ht="12.75" customHeight="1">
      <c r="E881" s="206"/>
    </row>
    <row r="882" ht="12.75" customHeight="1">
      <c r="E882" s="206"/>
    </row>
    <row r="883" ht="12.75" customHeight="1">
      <c r="E883" s="206"/>
    </row>
    <row r="884" ht="12.75" customHeight="1">
      <c r="E884" s="206"/>
    </row>
    <row r="885" ht="12.75" customHeight="1">
      <c r="E885" s="206"/>
    </row>
    <row r="886" ht="12.75" customHeight="1">
      <c r="E886" s="206"/>
    </row>
    <row r="887" ht="12.75" customHeight="1">
      <c r="E887" s="206"/>
    </row>
    <row r="888" ht="12.75" customHeight="1">
      <c r="E888" s="206"/>
    </row>
    <row r="889" ht="12.75" customHeight="1">
      <c r="E889" s="206"/>
    </row>
    <row r="890" ht="12.75" customHeight="1">
      <c r="E890" s="206"/>
    </row>
    <row r="891" ht="12.75" customHeight="1">
      <c r="E891" s="206"/>
    </row>
    <row r="892" ht="12.75" customHeight="1">
      <c r="E892" s="206"/>
    </row>
    <row r="893" ht="12.75" customHeight="1">
      <c r="E893" s="206"/>
    </row>
    <row r="894" ht="12.75" customHeight="1">
      <c r="E894" s="206"/>
    </row>
    <row r="895" ht="12.75" customHeight="1">
      <c r="E895" s="206"/>
    </row>
    <row r="896" ht="12.75" customHeight="1">
      <c r="E896" s="206"/>
    </row>
    <row r="897" ht="12.75" customHeight="1">
      <c r="E897" s="206"/>
    </row>
    <row r="898" ht="12.75" customHeight="1">
      <c r="E898" s="206"/>
    </row>
    <row r="899" ht="12.75" customHeight="1">
      <c r="E899" s="206"/>
    </row>
    <row r="900" ht="12.75" customHeight="1">
      <c r="E900" s="206"/>
    </row>
    <row r="901" ht="12.75" customHeight="1">
      <c r="E901" s="206"/>
    </row>
    <row r="902" ht="12.75" customHeight="1">
      <c r="E902" s="206"/>
    </row>
    <row r="903" ht="12.75" customHeight="1">
      <c r="E903" s="206"/>
    </row>
    <row r="904" ht="12.75" customHeight="1">
      <c r="E904" s="206"/>
    </row>
    <row r="905" ht="12.75" customHeight="1">
      <c r="E905" s="206"/>
    </row>
    <row r="906" ht="12.75" customHeight="1">
      <c r="E906" s="206"/>
    </row>
    <row r="907" ht="12.75" customHeight="1">
      <c r="E907" s="206"/>
    </row>
    <row r="908" ht="12.75" customHeight="1">
      <c r="E908" s="206"/>
    </row>
    <row r="909" ht="12.75" customHeight="1">
      <c r="E909" s="206"/>
    </row>
    <row r="910" ht="12.75" customHeight="1">
      <c r="E910" s="206"/>
    </row>
    <row r="911" ht="12.75" customHeight="1">
      <c r="E911" s="206"/>
    </row>
    <row r="912" ht="12.75" customHeight="1">
      <c r="E912" s="206"/>
    </row>
    <row r="913" ht="12.75" customHeight="1">
      <c r="E913" s="206"/>
    </row>
    <row r="914" ht="12.75" customHeight="1">
      <c r="E914" s="206"/>
    </row>
    <row r="915" ht="12.75" customHeight="1">
      <c r="E915" s="206"/>
    </row>
    <row r="916" ht="12.75" customHeight="1">
      <c r="E916" s="206"/>
    </row>
    <row r="917" ht="12.75" customHeight="1">
      <c r="E917" s="206"/>
    </row>
    <row r="918" ht="12.75" customHeight="1">
      <c r="E918" s="206"/>
    </row>
    <row r="919" ht="12.75" customHeight="1">
      <c r="E919" s="206"/>
    </row>
    <row r="920" ht="12.75" customHeight="1">
      <c r="E920" s="206"/>
    </row>
    <row r="921" ht="12.75" customHeight="1">
      <c r="E921" s="206"/>
    </row>
    <row r="922" ht="12.75" customHeight="1">
      <c r="E922" s="206"/>
    </row>
    <row r="923" ht="12.75" customHeight="1">
      <c r="E923" s="206"/>
    </row>
    <row r="924" ht="12.75" customHeight="1">
      <c r="E924" s="206"/>
    </row>
    <row r="925" ht="12.75" customHeight="1">
      <c r="E925" s="206"/>
    </row>
    <row r="926" ht="12.75" customHeight="1">
      <c r="E926" s="206"/>
    </row>
    <row r="927" ht="12.75" customHeight="1">
      <c r="E927" s="206"/>
    </row>
    <row r="928" ht="12.75" customHeight="1">
      <c r="E928" s="206"/>
    </row>
    <row r="929" ht="12.75" customHeight="1">
      <c r="E929" s="206"/>
    </row>
    <row r="930" ht="12.75" customHeight="1">
      <c r="E930" s="206"/>
    </row>
    <row r="931" ht="12.75" customHeight="1">
      <c r="E931" s="206"/>
    </row>
    <row r="932" ht="12.75" customHeight="1">
      <c r="E932" s="206"/>
    </row>
    <row r="933" ht="12.75" customHeight="1">
      <c r="E933" s="206"/>
    </row>
    <row r="934" ht="12.75" customHeight="1">
      <c r="E934" s="206"/>
    </row>
    <row r="935" ht="12.75" customHeight="1">
      <c r="E935" s="206"/>
    </row>
    <row r="936" ht="12.75" customHeight="1">
      <c r="E936" s="206"/>
    </row>
    <row r="937" ht="12.75" customHeight="1">
      <c r="E937" s="206"/>
    </row>
    <row r="938" ht="12.75" customHeight="1">
      <c r="E938" s="206"/>
    </row>
    <row r="939" ht="12.75" customHeight="1">
      <c r="E939" s="206"/>
    </row>
    <row r="940" ht="12.75" customHeight="1">
      <c r="E940" s="206"/>
    </row>
    <row r="941" ht="12.75" customHeight="1">
      <c r="E941" s="206"/>
    </row>
    <row r="942" ht="12.75" customHeight="1">
      <c r="E942" s="206"/>
    </row>
    <row r="943" ht="12.75" customHeight="1">
      <c r="E943" s="206"/>
    </row>
    <row r="944" ht="12.75" customHeight="1">
      <c r="E944" s="206"/>
    </row>
    <row r="945" ht="12.75" customHeight="1">
      <c r="E945" s="206"/>
    </row>
    <row r="946" ht="12.75" customHeight="1">
      <c r="E946" s="206"/>
    </row>
    <row r="947" ht="12.75" customHeight="1">
      <c r="E947" s="206"/>
    </row>
    <row r="948" ht="12.75" customHeight="1">
      <c r="E948" s="206"/>
    </row>
    <row r="949" ht="12.75" customHeight="1">
      <c r="E949" s="206"/>
    </row>
    <row r="950" ht="12.75" customHeight="1">
      <c r="E950" s="206"/>
    </row>
    <row r="951" ht="12.75" customHeight="1">
      <c r="E951" s="206"/>
    </row>
    <row r="952" ht="12.75" customHeight="1">
      <c r="E952" s="206"/>
    </row>
    <row r="953" ht="12.75" customHeight="1">
      <c r="E953" s="206"/>
    </row>
    <row r="954" ht="12.75" customHeight="1">
      <c r="E954" s="206"/>
    </row>
    <row r="955" ht="12.75" customHeight="1">
      <c r="E955" s="206"/>
    </row>
    <row r="956" ht="12.75" customHeight="1">
      <c r="E956" s="206"/>
    </row>
    <row r="957" ht="12.75" customHeight="1">
      <c r="E957" s="206"/>
    </row>
    <row r="958" ht="12.75" customHeight="1">
      <c r="E958" s="206"/>
    </row>
    <row r="959" ht="12.75" customHeight="1">
      <c r="E959" s="206"/>
    </row>
    <row r="960" ht="12.75" customHeight="1">
      <c r="E960" s="206"/>
    </row>
    <row r="961" ht="12.75" customHeight="1">
      <c r="E961" s="206"/>
    </row>
    <row r="962" ht="12.75" customHeight="1">
      <c r="E962" s="206"/>
    </row>
    <row r="963" ht="12.75" customHeight="1">
      <c r="E963" s="206"/>
    </row>
    <row r="964" ht="12.75" customHeight="1">
      <c r="E964" s="206"/>
    </row>
    <row r="965" ht="12.75" customHeight="1">
      <c r="E965" s="206"/>
    </row>
    <row r="966" ht="12.75" customHeight="1">
      <c r="E966" s="206"/>
    </row>
    <row r="967" ht="12.75" customHeight="1">
      <c r="E967" s="206"/>
    </row>
    <row r="968" ht="12.75" customHeight="1">
      <c r="E968" s="206"/>
    </row>
    <row r="969" ht="12.75" customHeight="1">
      <c r="E969" s="206"/>
    </row>
    <row r="970" ht="12.75" customHeight="1">
      <c r="E970" s="206"/>
    </row>
    <row r="971" ht="12.75" customHeight="1">
      <c r="E971" s="206"/>
    </row>
    <row r="972" ht="12.75" customHeight="1">
      <c r="E972" s="206"/>
    </row>
    <row r="973" ht="12.75" customHeight="1">
      <c r="E973" s="206"/>
    </row>
    <row r="974" ht="12.75" customHeight="1">
      <c r="E974" s="206"/>
    </row>
    <row r="975" ht="12.75" customHeight="1">
      <c r="E975" s="206"/>
    </row>
    <row r="976" ht="12.75" customHeight="1">
      <c r="E976" s="206"/>
    </row>
    <row r="977" ht="12.75" customHeight="1">
      <c r="E977" s="206"/>
    </row>
    <row r="978" ht="12.75" customHeight="1">
      <c r="E978" s="206"/>
    </row>
    <row r="979" ht="12.75" customHeight="1">
      <c r="E979" s="206"/>
    </row>
    <row r="980" ht="12.75" customHeight="1">
      <c r="E980" s="206"/>
    </row>
    <row r="981" ht="12.75" customHeight="1">
      <c r="E981" s="206"/>
    </row>
    <row r="982" ht="12.75" customHeight="1">
      <c r="E982" s="206"/>
    </row>
    <row r="983" ht="12.75" customHeight="1">
      <c r="E983" s="206"/>
    </row>
    <row r="984" ht="12.75" customHeight="1">
      <c r="E984" s="206"/>
    </row>
    <row r="985" ht="12.75" customHeight="1">
      <c r="E985" s="206"/>
    </row>
    <row r="986" ht="12.75" customHeight="1">
      <c r="E986" s="206"/>
    </row>
    <row r="987" ht="12.75" customHeight="1">
      <c r="E987" s="206"/>
    </row>
    <row r="988" ht="12.75" customHeight="1">
      <c r="E988" s="206"/>
    </row>
    <row r="989" ht="12.75" customHeight="1">
      <c r="E989" s="206"/>
    </row>
    <row r="990" ht="12.75" customHeight="1">
      <c r="E990" s="206"/>
    </row>
    <row r="991" ht="12.75" customHeight="1">
      <c r="E991" s="206"/>
    </row>
    <row r="992" ht="12.75" customHeight="1">
      <c r="E992" s="206"/>
    </row>
    <row r="993" ht="12.75" customHeight="1">
      <c r="E993" s="206"/>
    </row>
    <row r="994" ht="12.75" customHeight="1">
      <c r="E994" s="206"/>
    </row>
    <row r="995" ht="12.75" customHeight="1">
      <c r="E995" s="206"/>
    </row>
    <row r="996" ht="12.75" customHeight="1">
      <c r="E996" s="206"/>
    </row>
    <row r="997" ht="12.75" customHeight="1">
      <c r="E997" s="206"/>
    </row>
    <row r="998" ht="12.75" customHeight="1">
      <c r="E998" s="206"/>
    </row>
    <row r="999" ht="12.75" customHeight="1">
      <c r="E999" s="206"/>
    </row>
    <row r="1000" ht="12.75" customHeight="1">
      <c r="E1000" s="206"/>
    </row>
  </sheetData>
  <sheetProtection/>
  <mergeCells count="3">
    <mergeCell ref="A6:F6"/>
    <mergeCell ref="D8:F8"/>
    <mergeCell ref="B14:B15"/>
  </mergeCells>
  <printOptions/>
  <pageMargins left="0.905555555555556" right="0.511805555555555" top="0.747916666666667" bottom="0.747916666666667" header="0" footer="0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69.7109375" style="0" customWidth="1"/>
    <col min="2" max="3" width="9.00390625" style="0" customWidth="1"/>
    <col min="4" max="4" width="12.7109375" style="0" customWidth="1"/>
    <col min="5" max="6" width="9.00390625" style="0" customWidth="1"/>
    <col min="7" max="26" width="8.7109375" style="0" customWidth="1"/>
  </cols>
  <sheetData>
    <row r="1" spans="1:26" ht="12.75" customHeight="1">
      <c r="A1" s="175" t="s">
        <v>198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17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77" t="s">
        <v>199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7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7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7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7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7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7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7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7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180" t="s">
        <v>200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80" t="s">
        <v>201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80" t="s">
        <v>202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80" t="s">
        <v>205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80" t="s">
        <v>208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82" t="s">
        <v>209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/>
  <printOptions/>
  <pageMargins left="0.905555555555556" right="0.511805555555555" top="0.747916666666667" bottom="0.747916666666667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4.28125" style="0" customWidth="1"/>
    <col min="2" max="2" width="20.57421875" style="0" customWidth="1"/>
    <col min="3" max="6" width="9.00390625" style="0" customWidth="1"/>
    <col min="7" max="26" width="8.7109375" style="0" customWidth="1"/>
  </cols>
  <sheetData>
    <row r="1" spans="1:26" ht="19.5" customHeight="1">
      <c r="A1" s="283" t="s">
        <v>254</v>
      </c>
      <c r="B1" s="28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5" customHeight="1">
      <c r="A2" s="216" t="s">
        <v>255</v>
      </c>
      <c r="B2" s="217" t="s">
        <v>257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9.5" customHeight="1">
      <c r="A3" s="218">
        <v>1</v>
      </c>
      <c r="B3" s="219">
        <v>33.63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218">
        <v>2</v>
      </c>
      <c r="B4" s="219">
        <v>43.13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218">
        <v>3</v>
      </c>
      <c r="B5" s="219">
        <v>48.68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218">
        <v>4</v>
      </c>
      <c r="B6" s="219">
        <v>52.62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218">
        <v>5</v>
      </c>
      <c r="B7" s="219">
        <v>55.68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218">
        <v>6</v>
      </c>
      <c r="B8" s="219">
        <v>58.18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218">
        <v>7</v>
      </c>
      <c r="B9" s="219">
        <v>60.29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>
      <c r="A10" s="218">
        <v>8</v>
      </c>
      <c r="B10" s="219">
        <v>62.12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218">
        <v>9</v>
      </c>
      <c r="B11" s="219">
        <v>63.73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>
      <c r="A12" s="218">
        <v>10</v>
      </c>
      <c r="B12" s="219">
        <v>65.18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>
      <c r="A13" s="218">
        <v>11</v>
      </c>
      <c r="B13" s="219">
        <v>66.48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>
      <c r="A14" s="218">
        <v>12</v>
      </c>
      <c r="B14" s="219">
        <v>67.67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218">
        <v>13</v>
      </c>
      <c r="B15" s="219">
        <v>68.77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9.5" customHeight="1">
      <c r="A16" s="218">
        <v>14</v>
      </c>
      <c r="B16" s="219">
        <v>69.79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220">
        <v>15</v>
      </c>
      <c r="B17" s="221">
        <v>70.73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9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9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9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9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9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9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9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9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9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9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9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9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9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9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9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9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9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9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9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9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9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9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9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9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9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9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9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9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9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9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9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9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9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9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9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9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9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9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9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9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9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9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9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9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9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9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9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9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9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9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9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9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9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9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9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9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9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9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9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9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9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9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9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9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9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9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9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9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9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9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9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9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9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9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9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9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9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9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9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9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9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9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9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9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9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9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9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9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9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9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9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9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9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9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9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9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9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9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9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9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9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9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9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9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9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9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9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9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9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9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9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9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9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9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9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9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9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9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9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9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9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9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9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9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9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9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9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9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9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9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9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9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9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9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9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9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9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9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9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9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9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9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9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9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9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9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9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9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9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9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9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9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9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9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9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9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9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9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9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9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9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9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9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9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9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9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9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9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9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9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9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9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9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9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9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9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9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9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9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9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9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9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9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9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9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9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9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9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9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9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9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9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9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9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9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9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9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9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9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9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9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9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9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9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9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9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9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9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9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9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9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9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9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9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9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9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9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9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9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9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9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9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9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9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9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9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9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9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9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9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9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9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9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9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9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9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9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9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9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9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9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9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9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9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9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9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9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9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9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9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9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9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9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9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9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9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9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9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9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9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9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9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9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9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9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9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9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9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9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9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9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9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9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9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9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9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9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9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9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9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9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9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9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9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9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9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9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9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9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9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9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9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9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9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9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9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9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9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9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9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9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9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9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9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9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9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9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9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9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9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9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9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9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9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9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9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9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9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9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9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9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9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9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9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9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9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9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9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9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9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9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9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9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9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9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9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9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9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9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9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9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9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9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9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9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9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9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9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9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9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9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9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9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9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9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9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9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9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9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9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9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9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9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9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9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9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9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9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9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9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9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9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9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9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9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9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9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9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9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9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9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9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9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9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9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9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9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9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9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9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9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9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9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9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9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9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9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9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9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9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9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9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9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9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9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9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9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9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9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9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9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9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9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9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9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9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9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9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9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9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9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9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9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9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9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9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9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9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9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9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9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9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9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9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9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9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9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9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9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9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9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9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9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9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9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9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9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9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9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9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9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9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9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9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9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9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9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9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9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9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9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9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9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9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9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9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9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9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9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9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9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9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9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9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9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9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9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9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9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9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9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9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9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9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9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9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9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9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9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9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9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9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9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9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9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9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9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9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9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9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9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9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9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9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9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9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9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9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9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9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9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9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9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9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9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9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9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9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9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9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9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9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9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9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9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9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9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9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9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9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9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9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9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9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9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9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9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9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9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9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9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9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9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9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9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9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9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9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9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9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9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9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9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9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9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9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9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9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9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9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9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9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9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9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9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9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9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9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9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9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9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9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9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9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9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9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9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9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9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9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9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9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9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9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9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9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9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9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9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9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9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9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9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9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9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9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9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9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9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9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9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9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9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9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9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9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9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9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9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9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9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9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9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9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9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9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9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9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9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9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9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9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9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9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9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9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9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9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9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9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9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9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9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9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9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9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9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9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9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9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9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9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9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9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9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9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9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9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9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9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9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9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9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9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9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9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9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9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9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9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9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9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9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9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9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9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9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9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9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9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9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9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9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9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/>
  <mergeCells count="1">
    <mergeCell ref="A1:B1"/>
  </mergeCells>
  <printOptions/>
  <pageMargins left="0.905555555555556" right="0.511805555555555" top="0.747916666666667" bottom="0.747916666666667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7.57421875" style="0" customWidth="1"/>
    <col min="2" max="3" width="11.00390625" style="0" customWidth="1"/>
    <col min="4" max="6" width="9.00390625" style="0" customWidth="1"/>
    <col min="7" max="26" width="8.7109375" style="0" customWidth="1"/>
  </cols>
  <sheetData>
    <row r="1" spans="1:26" ht="12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6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 t="s">
        <v>300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2" t="s">
        <v>301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78" t="s">
        <v>302</v>
      </c>
      <c r="B6" s="275"/>
      <c r="C6" s="27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237"/>
      <c r="B7" s="238"/>
      <c r="C7" s="2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240" t="s">
        <v>303</v>
      </c>
      <c r="B8" s="241" t="s">
        <v>304</v>
      </c>
      <c r="C8" s="242" t="s">
        <v>24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24" t="s">
        <v>305</v>
      </c>
      <c r="B9" s="243" t="s">
        <v>306</v>
      </c>
      <c r="C9" s="26">
        <v>33690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4" t="s">
        <v>307</v>
      </c>
      <c r="B10" s="243" t="s">
        <v>308</v>
      </c>
      <c r="C10" s="244">
        <v>0.487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24" t="s">
        <v>309</v>
      </c>
      <c r="B11" s="243" t="s">
        <v>310</v>
      </c>
      <c r="C11" s="245">
        <v>16.41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24" t="s">
        <v>311</v>
      </c>
      <c r="B12" s="243" t="s">
        <v>312</v>
      </c>
      <c r="C12" s="246">
        <v>499.13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4" t="s">
        <v>313</v>
      </c>
      <c r="B13" s="243" t="s">
        <v>146</v>
      </c>
      <c r="C13" s="245">
        <v>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4" t="s">
        <v>314</v>
      </c>
      <c r="B14" s="243" t="s">
        <v>310</v>
      </c>
      <c r="C14" s="245">
        <f>_xlfn.IFERROR(C11*7/C13,0)</f>
        <v>19.145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24" t="s">
        <v>315</v>
      </c>
      <c r="B15" s="243" t="s">
        <v>316</v>
      </c>
      <c r="C15" s="26">
        <v>500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24" t="s">
        <v>317</v>
      </c>
      <c r="B16" s="243"/>
      <c r="C16" s="26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24" t="s">
        <v>318</v>
      </c>
      <c r="B17" s="243" t="s">
        <v>319</v>
      </c>
      <c r="C17" s="26">
        <v>15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24" t="s">
        <v>320</v>
      </c>
      <c r="B18" s="243" t="s">
        <v>312</v>
      </c>
      <c r="C18" s="26">
        <f>IF(AND(C17&gt;=15,C16=1),5.8,C17/2)</f>
        <v>5.8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24" t="s">
        <v>321</v>
      </c>
      <c r="B19" s="243"/>
      <c r="C19" s="245">
        <f>_xlfn.IFERROR(C14/C18,0)</f>
        <v>3.3008620689655173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24" t="s">
        <v>322</v>
      </c>
      <c r="B20" s="243"/>
      <c r="C20" s="247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248" t="s">
        <v>323</v>
      </c>
      <c r="B21" s="249"/>
      <c r="C21" s="250">
        <f>_xlfn.IFERROR(C19/C20,0)</f>
        <v>1.6504310344827586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/>
  <mergeCells count="1">
    <mergeCell ref="A6:C6"/>
  </mergeCells>
  <printOptions/>
  <pageMargins left="0.511805555555555" right="0.511805555555555" top="0.7875" bottom="0.7875" header="0" footer="0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Fazenda2452</dc:creator>
  <cp:keywords/>
  <dc:description/>
  <cp:lastModifiedBy>Fazenda2452</cp:lastModifiedBy>
  <dcterms:created xsi:type="dcterms:W3CDTF">2019-06-11T16:42:27Z</dcterms:created>
  <dcterms:modified xsi:type="dcterms:W3CDTF">2019-06-11T16:42:41Z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